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M:\Compras\COMPRAS 2024\PROCESSOS LICITATÓRIOS\PREGÃO\PREGÃO ELET. 067-2024 - TRANSPORTE CCI\"/>
    </mc:Choice>
  </mc:AlternateContent>
  <xr:revisionPtr revIDLastSave="0" documentId="13_ncr:1_{478391DF-B5AD-4DA9-9FDF-6E902ABB024A}" xr6:coauthVersionLast="47" xr6:coauthVersionMax="47" xr10:uidLastSave="{00000000-0000-0000-0000-000000000000}"/>
  <bookViews>
    <workbookView xWindow="-28920" yWindow="-120" windowWidth="29040" windowHeight="15840" tabRatio="908" xr2:uid="{00000000-000D-0000-FFFF-FFFF00000000}"/>
  </bookViews>
  <sheets>
    <sheet name="RESUMO" sheetId="66" r:id="rId1"/>
    <sheet name="ROTA 1 - ÔNIBUS" sheetId="63" r:id="rId2"/>
    <sheet name="ROTA 2 - MICRO" sheetId="65" r:id="rId3"/>
    <sheet name="Roteiros" sheetId="55" r:id="rId4"/>
    <sheet name="Encargos Sociais" sheetId="56" r:id="rId5"/>
    <sheet name="BDI" sheetId="57" r:id="rId6"/>
    <sheet name="Depreciação" sheetId="58" r:id="rId7"/>
    <sheet name="Pesquisas de preços" sheetId="59" r:id="rId8"/>
  </sheets>
  <definedNames>
    <definedName name="_____LO25">#REF!</definedName>
    <definedName name="____LO25">#REF!</definedName>
    <definedName name="___LO25">#REF!</definedName>
    <definedName name="__LO25">#REF!</definedName>
    <definedName name="_LO25">#REF!</definedName>
    <definedName name="AbaDeprec">Depreciação!$A$1</definedName>
    <definedName name="AbaRemun">#REF!</definedName>
    <definedName name="_xlnm.Print_Area" localSheetId="1">'ROTA 1 - ÔNIBUS'!$A$1:$I$119</definedName>
    <definedName name="_xlnm.Print_Area" localSheetId="2">'ROTA 2 - MICRO'!$A$1:$I$118</definedName>
    <definedName name="_xlnm.Print_Area" localSheetId="3">Roteiros!$A$2:$D$75</definedName>
    <definedName name="ses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65" l="1"/>
  <c r="H48" i="63"/>
  <c r="C14" i="57"/>
  <c r="B8" i="65"/>
  <c r="B9" i="63"/>
  <c r="B8" i="63"/>
  <c r="B15" i="66" l="1"/>
  <c r="B119" i="63"/>
  <c r="A1" i="63" l="1"/>
  <c r="B10" i="66"/>
  <c r="D10" i="66" s="1"/>
  <c r="B9" i="66"/>
  <c r="D9" i="66" s="1"/>
  <c r="B98" i="63"/>
  <c r="B96" i="63"/>
  <c r="D32" i="65"/>
  <c r="F32" i="65" s="1"/>
  <c r="H32" i="65" s="1"/>
  <c r="D34" i="65"/>
  <c r="F34" i="65" s="1"/>
  <c r="H34" i="65" s="1"/>
  <c r="D33" i="63"/>
  <c r="F33" i="63" s="1"/>
  <c r="A1" i="59" l="1"/>
  <c r="A1" i="58"/>
  <c r="A1" i="55"/>
  <c r="A1" i="57"/>
  <c r="D12" i="66"/>
  <c r="B12" i="66"/>
  <c r="D31" i="63"/>
  <c r="D30" i="65"/>
  <c r="A1" i="56"/>
  <c r="A1" i="65"/>
  <c r="B118" i="65"/>
  <c r="B97" i="65"/>
  <c r="B95" i="65"/>
  <c r="G80" i="65"/>
  <c r="A77" i="65"/>
  <c r="A75" i="65"/>
  <c r="A74" i="65"/>
  <c r="A73" i="65"/>
  <c r="A72" i="65"/>
  <c r="A70" i="65"/>
  <c r="A69" i="65"/>
  <c r="A68" i="65"/>
  <c r="F51" i="65"/>
  <c r="F50" i="65"/>
  <c r="E30" i="65"/>
  <c r="H22" i="65"/>
  <c r="F24" i="65"/>
  <c r="H24" i="65" s="1"/>
  <c r="G25" i="65" s="1"/>
  <c r="H25" i="65" s="1"/>
  <c r="G26" i="65" s="1"/>
  <c r="A23" i="65"/>
  <c r="A71" i="65" s="1"/>
  <c r="G9" i="65"/>
  <c r="G11" i="65" s="1"/>
  <c r="B41" i="65" s="1"/>
  <c r="G7" i="65"/>
  <c r="G79" i="65" s="1"/>
  <c r="E7" i="55"/>
  <c r="E4" i="55"/>
  <c r="G7" i="63"/>
  <c r="G81" i="63"/>
  <c r="A78" i="63"/>
  <c r="A76" i="63"/>
  <c r="A75" i="63"/>
  <c r="A74" i="63"/>
  <c r="A73" i="63"/>
  <c r="A71" i="63"/>
  <c r="A70" i="63"/>
  <c r="A69" i="63"/>
  <c r="F52" i="63"/>
  <c r="F51" i="63"/>
  <c r="D35" i="63"/>
  <c r="E31" i="63"/>
  <c r="F25" i="63"/>
  <c r="H25" i="63" s="1"/>
  <c r="A24" i="63"/>
  <c r="A72" i="63" s="1"/>
  <c r="H23" i="63"/>
  <c r="G9" i="63"/>
  <c r="G11" i="63" s="1"/>
  <c r="B42" i="63" s="1"/>
  <c r="C10" i="57"/>
  <c r="C11" i="57"/>
  <c r="G81" i="65" l="1"/>
  <c r="F35" i="63"/>
  <c r="H35" i="63" s="1"/>
  <c r="F30" i="65"/>
  <c r="H30" i="65" s="1"/>
  <c r="H35" i="65" s="1"/>
  <c r="B36" i="65" s="1"/>
  <c r="F31" i="63"/>
  <c r="H31" i="63" s="1"/>
  <c r="G18" i="65"/>
  <c r="B86" i="65"/>
  <c r="G26" i="63"/>
  <c r="H26" i="63" s="1"/>
  <c r="G27" i="63" s="1"/>
  <c r="G80" i="63"/>
  <c r="G82" i="63" s="1"/>
  <c r="G19" i="63"/>
  <c r="B87" i="63"/>
  <c r="H30" i="59"/>
  <c r="G13" i="65" s="1"/>
  <c r="G47" i="65" s="1"/>
  <c r="G50" i="65" s="1"/>
  <c r="H50" i="65" s="1"/>
  <c r="G51" i="65" s="1"/>
  <c r="H51" i="65" s="1"/>
  <c r="B33" i="65" s="1"/>
  <c r="H31" i="59"/>
  <c r="D58" i="63" l="1"/>
  <c r="D57" i="65"/>
  <c r="H33" i="63"/>
  <c r="H36" i="63" s="1"/>
  <c r="B37" i="63" s="1"/>
  <c r="B29" i="65"/>
  <c r="G14" i="63"/>
  <c r="G48" i="63" s="1"/>
  <c r="G51" i="63" s="1"/>
  <c r="H51" i="63" s="1"/>
  <c r="G52" i="63" s="1"/>
  <c r="H52" i="63" s="1"/>
  <c r="B34" i="63" s="1"/>
  <c r="B39" i="65"/>
  <c r="B40" i="65" s="1"/>
  <c r="B22" i="65"/>
  <c r="F70" i="65" s="1"/>
  <c r="F26" i="65"/>
  <c r="H26" i="65" s="1"/>
  <c r="B23" i="65" s="1"/>
  <c r="F71" i="65" s="1"/>
  <c r="F27" i="63"/>
  <c r="H27" i="63" s="1"/>
  <c r="B24" i="63" s="1"/>
  <c r="F72" i="63" s="1"/>
  <c r="B23" i="63"/>
  <c r="F71" i="63" s="1"/>
  <c r="L18" i="59"/>
  <c r="L17" i="59"/>
  <c r="L16" i="59"/>
  <c r="M16" i="59"/>
  <c r="N16" i="59"/>
  <c r="O16" i="59"/>
  <c r="M17" i="59"/>
  <c r="N17" i="59"/>
  <c r="O17" i="59"/>
  <c r="M18" i="59"/>
  <c r="N18" i="59"/>
  <c r="O18" i="59"/>
  <c r="O9" i="59"/>
  <c r="O10" i="59"/>
  <c r="O11" i="59"/>
  <c r="O12" i="59"/>
  <c r="O13" i="59"/>
  <c r="O14" i="59"/>
  <c r="O15" i="59"/>
  <c r="N9" i="59"/>
  <c r="N10" i="59"/>
  <c r="N11" i="59"/>
  <c r="N12" i="59"/>
  <c r="N13" i="59"/>
  <c r="N14" i="59"/>
  <c r="N15" i="59"/>
  <c r="M9" i="59"/>
  <c r="M10" i="59"/>
  <c r="M11" i="59"/>
  <c r="M12" i="59"/>
  <c r="M13" i="59"/>
  <c r="M14" i="59"/>
  <c r="M15" i="59"/>
  <c r="O8" i="59"/>
  <c r="N8" i="59"/>
  <c r="M8" i="59"/>
  <c r="L9" i="59"/>
  <c r="L10" i="59"/>
  <c r="L11" i="59"/>
  <c r="L12" i="59"/>
  <c r="L13" i="59"/>
  <c r="L14" i="59"/>
  <c r="L15" i="59"/>
  <c r="L8" i="59"/>
  <c r="B18" i="59"/>
  <c r="B17" i="59"/>
  <c r="B16" i="59"/>
  <c r="B15" i="59"/>
  <c r="F7" i="57"/>
  <c r="E7" i="57"/>
  <c r="D7" i="57"/>
  <c r="C30" i="56"/>
  <c r="C24" i="56"/>
  <c r="C27" i="56" s="1"/>
  <c r="C20" i="56"/>
  <c r="C12" i="56"/>
  <c r="B30" i="63" l="1"/>
  <c r="B40" i="63" s="1"/>
  <c r="B41" i="63" s="1"/>
  <c r="F74" i="63" s="1"/>
  <c r="G14" i="65"/>
  <c r="B21" i="65" s="1"/>
  <c r="F69" i="65" s="1"/>
  <c r="F68" i="65" s="1"/>
  <c r="F73" i="65"/>
  <c r="G15" i="63"/>
  <c r="B22" i="63" s="1"/>
  <c r="F70" i="63" s="1"/>
  <c r="F69" i="63" s="1"/>
  <c r="C29" i="56"/>
  <c r="C31" i="56" s="1"/>
  <c r="C32" i="56"/>
  <c r="B25" i="65" l="1"/>
  <c r="H53" i="65" s="1"/>
  <c r="E57" i="65" s="1"/>
  <c r="F57" i="65" s="1"/>
  <c r="G58" i="65" s="1"/>
  <c r="H60" i="65" s="1"/>
  <c r="F75" i="65" s="1"/>
  <c r="F72" i="65"/>
  <c r="B26" i="63"/>
  <c r="H54" i="63" s="1"/>
  <c r="E58" i="63" s="1"/>
  <c r="F58" i="63" s="1"/>
  <c r="G59" i="63" s="1"/>
  <c r="H61" i="63" s="1"/>
  <c r="F76" i="63" s="1"/>
  <c r="F73" i="63"/>
  <c r="F75" i="63" s="1"/>
  <c r="F74" i="65" l="1"/>
  <c r="H62" i="65"/>
  <c r="H64" i="65" s="1"/>
  <c r="D88" i="65" s="1"/>
  <c r="H63" i="63"/>
  <c r="H65" i="63" s="1"/>
  <c r="D89" i="63" s="1"/>
  <c r="F78" i="63"/>
  <c r="G73" i="63" s="1"/>
  <c r="E10" i="66" l="1"/>
  <c r="F10" i="66" s="1"/>
  <c r="E9" i="66"/>
  <c r="F9" i="66" s="1"/>
  <c r="F77" i="65"/>
  <c r="G74" i="65" s="1"/>
  <c r="G83" i="63"/>
  <c r="G71" i="63"/>
  <c r="G72" i="63"/>
  <c r="G70" i="63"/>
  <c r="G74" i="63"/>
  <c r="G69" i="63"/>
  <c r="G76" i="63"/>
  <c r="G75" i="63"/>
  <c r="G82" i="65" l="1"/>
  <c r="G71" i="65"/>
  <c r="G70" i="65"/>
  <c r="G69" i="65"/>
  <c r="G68" i="65"/>
  <c r="G73" i="65"/>
  <c r="G75" i="65"/>
  <c r="G77" i="65" s="1"/>
  <c r="G72" i="65"/>
  <c r="G78" i="63"/>
  <c r="F12" i="66" l="1"/>
  <c r="G9" i="66" s="1"/>
  <c r="G10" i="66" l="1"/>
</calcChain>
</file>

<file path=xl/sharedStrings.xml><?xml version="1.0" encoding="utf-8"?>
<sst xmlns="http://schemas.openxmlformats.org/spreadsheetml/2006/main" count="523" uniqueCount="347">
  <si>
    <t>RESUMO DOS ITINERÁRIOS COM AS RESPECTIVAS ROTAS</t>
  </si>
  <si>
    <t>Planilha de Composição de Custos</t>
  </si>
  <si>
    <t>Resumo dos Itinerários</t>
  </si>
  <si>
    <t>Itinerários</t>
  </si>
  <si>
    <t>Kms dia</t>
  </si>
  <si>
    <t>Custo KM</t>
  </si>
  <si>
    <t xml:space="preserve">Custo ano </t>
  </si>
  <si>
    <t xml:space="preserve">% s/total </t>
  </si>
  <si>
    <t xml:space="preserve">Total </t>
  </si>
  <si>
    <t>Medianeira,</t>
  </si>
  <si>
    <t xml:space="preserve">PARAMÊTROS PARA CÁLCULO DE CUSTO DO ITINERÁRIO </t>
  </si>
  <si>
    <t>TOTAL</t>
  </si>
  <si>
    <t xml:space="preserve">Kms percorridos por dia </t>
  </si>
  <si>
    <t>Tempo total conduzindo o veículo</t>
  </si>
  <si>
    <t>Horas</t>
  </si>
  <si>
    <t xml:space="preserve">Total horas </t>
  </si>
  <si>
    <t>Horas p/base de cálculo de custos</t>
  </si>
  <si>
    <t>Tempo total (horas)</t>
  </si>
  <si>
    <t>Veículo</t>
  </si>
  <si>
    <t>1.1 Combustível  R$/litro</t>
  </si>
  <si>
    <t xml:space="preserve">Total de Kms/litro previsão de consumo </t>
  </si>
  <si>
    <t xml:space="preserve">1.2 Custo de manutenção e insumos por km rodado </t>
  </si>
  <si>
    <t xml:space="preserve">Previsão de kms/mês </t>
  </si>
  <si>
    <t>1- CUSTO VARIÁVEL</t>
  </si>
  <si>
    <t>Valor R$</t>
  </si>
  <si>
    <t>1.3 Pneus</t>
  </si>
  <si>
    <t xml:space="preserve">1.1 Combustível </t>
  </si>
  <si>
    <t>Discriminação</t>
  </si>
  <si>
    <t>Unidade</t>
  </si>
  <si>
    <t>Quantidade</t>
  </si>
  <si>
    <t>Custo unitário</t>
  </si>
  <si>
    <t>Subtotal</t>
  </si>
  <si>
    <t xml:space="preserve">1.2 Manutenção e insumos </t>
  </si>
  <si>
    <t xml:space="preserve">Custo do jogo de pneus </t>
  </si>
  <si>
    <t>unidade</t>
  </si>
  <si>
    <t>Nº de recapagens por pneu</t>
  </si>
  <si>
    <t>Custo de recapagem</t>
  </si>
  <si>
    <t>TOTAL (Comb + Manut)</t>
  </si>
  <si>
    <t>Custo jg. compl. + 2 recap./ km rodado</t>
  </si>
  <si>
    <t>km/jogo</t>
  </si>
  <si>
    <t>Custo mensal com pneus</t>
  </si>
  <si>
    <t>km</t>
  </si>
  <si>
    <t xml:space="preserve">2 - TOTAL CUSTO FIXO MENSAL </t>
  </si>
  <si>
    <t>CUSTO CAPITAL INV. ANO (9,25%)</t>
  </si>
  <si>
    <t>SALÁRIO</t>
  </si>
  <si>
    <t>% Encargos</t>
  </si>
  <si>
    <t>Custo Mensal</t>
  </si>
  <si>
    <t xml:space="preserve">Meses </t>
  </si>
  <si>
    <t>SEGURO OBRIGATÓRIO ANUAL</t>
  </si>
  <si>
    <t>LICENCIAMENTO ANUAL</t>
  </si>
  <si>
    <t>Vale Refeição R$</t>
  </si>
  <si>
    <t xml:space="preserve">Dias Mês </t>
  </si>
  <si>
    <t>VISTÓRIAS SEMESTRAIS (02 ANO)</t>
  </si>
  <si>
    <t>DEPRECIAÇÃO ANUAL</t>
  </si>
  <si>
    <t>Plano de Saúde</t>
  </si>
  <si>
    <t>SEGURO TERCEIROS/ALUNOS ANO</t>
  </si>
  <si>
    <t>QUANT. DE MOTORISTAS</t>
  </si>
  <si>
    <t xml:space="preserve">Custo Anual por motorista </t>
  </si>
  <si>
    <t>MOTORISTA CUSTO ANUAL</t>
  </si>
  <si>
    <t>TOTAL CUSTO FIXO ANO</t>
  </si>
  <si>
    <t xml:space="preserve">Depreciação </t>
  </si>
  <si>
    <t>2.1 TOTAL CUSTO FIXO MENSAL</t>
  </si>
  <si>
    <t>TAXA USO VEÍCULO</t>
  </si>
  <si>
    <t>Custo  chassis</t>
  </si>
  <si>
    <t>Vida útil do chassis</t>
  </si>
  <si>
    <t>anos</t>
  </si>
  <si>
    <t>Idade do veículo</t>
  </si>
  <si>
    <t>Deprec. do chassis</t>
  </si>
  <si>
    <t>%</t>
  </si>
  <si>
    <t xml:space="preserve">Deprec. mensal </t>
  </si>
  <si>
    <t>mês</t>
  </si>
  <si>
    <t>3- CUSTO TOTAL MENSAL COM DESPESAS OPERACIONAIS</t>
  </si>
  <si>
    <t xml:space="preserve">4- BENEFÍCIOS E DESPESAS INDIRETAS </t>
  </si>
  <si>
    <r>
      <t xml:space="preserve">Total </t>
    </r>
    <r>
      <rPr>
        <b/>
        <u/>
        <sz val="12"/>
        <rFont val="Arial"/>
        <family val="2"/>
      </rPr>
      <t>(R$)</t>
    </r>
  </si>
  <si>
    <t>Benefícios e despesas indiretas</t>
  </si>
  <si>
    <t>Base para cálculo dos benefícios e despesas indiretas sobre total</t>
  </si>
  <si>
    <t>CUSTO MENSAL COM BDI</t>
  </si>
  <si>
    <t xml:space="preserve">PREÇO MÁXIMO POR QUILÔMETRO RODADO </t>
  </si>
  <si>
    <t>Orçamento Sintético</t>
  </si>
  <si>
    <t>Descrição do Item</t>
  </si>
  <si>
    <t>Custo (R$/mês)</t>
  </si>
  <si>
    <t>Km total/dia</t>
  </si>
  <si>
    <t>km total/mês</t>
  </si>
  <si>
    <t xml:space="preserve">Custo por quilômetro rodado </t>
  </si>
  <si>
    <t xml:space="preserve">Itinerário 01 – Compreende as rotas:  </t>
  </si>
  <si>
    <r>
      <t>a)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 xml:space="preserve">Trajeto - Itinerário 1 - Conforme Mapa em Anexo </t>
    </r>
  </si>
  <si>
    <r>
      <t>b)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 xml:space="preserve">Percurso de: </t>
    </r>
  </si>
  <si>
    <t>quilômetros diários;</t>
  </si>
  <si>
    <r>
      <t>c)</t>
    </r>
    <r>
      <rPr>
        <b/>
        <sz val="12"/>
        <rFont val="Times New Roman"/>
        <family val="1"/>
      </rPr>
      <t xml:space="preserve"> </t>
    </r>
    <r>
      <rPr>
        <b/>
        <sz val="12"/>
        <rFont val="Arial"/>
        <family val="2"/>
      </rPr>
      <t xml:space="preserve">Turno –  manhã </t>
    </r>
  </si>
  <si>
    <r>
      <t>d)</t>
    </r>
    <r>
      <rPr>
        <b/>
        <sz val="12"/>
        <rFont val="Times New Roman"/>
        <family val="1"/>
      </rPr>
      <t> </t>
    </r>
    <r>
      <rPr>
        <b/>
        <sz val="12"/>
        <rFont val="Arial"/>
        <family val="2"/>
      </rPr>
      <t>Valor máximo por quilômetro rodado</t>
    </r>
  </si>
  <si>
    <t xml:space="preserve">Memória de cálculo dos custos de transportes escolares </t>
  </si>
  <si>
    <t xml:space="preserve">&gt;  Tempo conduzindo o veículo - se refere ao tempo entre o início do roteiro até a chegada ao colégio e o retorno.   </t>
  </si>
  <si>
    <t xml:space="preserve">&gt;  Tempo total de horas - é o somatório do tempo conduzindo o veículo mais o tempo de espera.  </t>
  </si>
  <si>
    <t>&gt;  Veículo - ônibus</t>
  </si>
  <si>
    <t xml:space="preserve">&gt; Valor do veículo - Determinado pelo valor da FIPE de um veículo com idade média. </t>
  </si>
  <si>
    <t>&gt;  Idade dos veículos -</t>
  </si>
  <si>
    <t xml:space="preserve">&gt;  Preço por litro do combustível - conforme preço médio determinado pela ANP.  </t>
  </si>
  <si>
    <t xml:space="preserve">&gt;  Custo de manutenção - considerado o custo por km/rodado pela média de mercado.   </t>
  </si>
  <si>
    <t xml:space="preserve">&gt;  Custo de pneus - considerado o custo por km/rodado pela média de mercado com 02 recapagens.  </t>
  </si>
  <si>
    <r>
      <t xml:space="preserve">&gt; Custo do Capital Investido - determinado pelo valor do veículo multiplicado pela  Taxa </t>
    </r>
    <r>
      <rPr>
        <u/>
        <sz val="14"/>
        <rFont val="Arial"/>
        <family val="2"/>
      </rPr>
      <t xml:space="preserve">Selic atual.  </t>
    </r>
  </si>
  <si>
    <t>&gt; Seguro Obrigatório - Valor apurado conforme pesquisa junto ao Detran.</t>
  </si>
  <si>
    <t>&gt; Licenciamento - Valor apurado conforme pesquisa junto ao Detran.</t>
  </si>
  <si>
    <t xml:space="preserve">&gt; Custo fixo total anual - contempla o somatório total dos custos fixos.  </t>
  </si>
  <si>
    <t xml:space="preserve">&gt; Taxa de uso do veículo - foi considerado o tempo de horas trabalhadas na semana pelo total de horas previstas na convenção.  </t>
  </si>
  <si>
    <t xml:space="preserve">&gt; Custo total com despesas operacionais - contempla o somatário das despesas fixa e variáveis.  </t>
  </si>
  <si>
    <t xml:space="preserve"> </t>
  </si>
  <si>
    <t>Km</t>
  </si>
  <si>
    <t xml:space="preserve">2. Composição dos Encargos Sociais </t>
  </si>
  <si>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</si>
  <si>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</si>
  <si>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</si>
  <si>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</si>
  <si>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</si>
  <si>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</si>
  <si>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</si>
  <si>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</si>
  <si>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</si>
  <si>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</si>
  <si>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</si>
  <si>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</si>
  <si>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</si>
  <si>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</si>
  <si>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</si>
  <si>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</si>
  <si>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</si>
  <si>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</si>
  <si>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</si>
  <si>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</si>
  <si>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</si>
  <si>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</si>
  <si>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</si>
  <si>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</si>
  <si>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</si>
  <si>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</si>
  <si>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</si>
  <si>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</si>
  <si>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</si>
  <si>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</si>
  <si>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</si>
  <si>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</si>
  <si>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</si>
  <si>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</si>
  <si>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</si>
  <si>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</si>
  <si>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</si>
  <si>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 xml:space="preserve">Férias indenizadas 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</si>
  <si>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</si>
  <si>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</si>
  <si>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</si>
  <si>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</si>
  <si>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</si>
  <si>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</si>
  <si>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</si>
  <si>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</si>
  <si>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</si>
  <si>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</si>
  <si>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</si>
  <si>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FGTS sobre aviso prévio indenizado</t>
  </si>
  <si>
    <t>D</t>
  </si>
  <si>
    <t>SOMA GRUPO D</t>
  </si>
  <si>
    <t>SOMA (A+B+C+D)</t>
  </si>
  <si>
    <t>Composição do BDI - Benefícios e Despesas Indiretas</t>
  </si>
  <si>
    <t>Referência estudo TCE</t>
  </si>
  <si>
    <t>1° Quartil</t>
  </si>
  <si>
    <t>Médio</t>
  </si>
  <si>
    <t>3° Quartil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</si>
  <si>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</si>
  <si>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</si>
  <si>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</si>
  <si>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</si>
  <si>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</si>
  <si>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</si>
  <si>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</si>
  <si>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</si>
  <si>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</si>
  <si>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Tributos - ISS</t>
  </si>
  <si>
    <t>DU</t>
  </si>
  <si>
    <t>Fórmula para o cálculo do BDI:</t>
  </si>
  <si>
    <t>{[(1+AC+SRG) x (1+L) x (1+DF)] / (1-T)} -1</t>
  </si>
  <si>
    <t>Resultado do cálculo do BDI:</t>
  </si>
  <si>
    <t xml:space="preserve">Obs: Cada empresa deve prever os Benefícios e Despesas Indiretas de acordo com  </t>
  </si>
  <si>
    <t xml:space="preserve">a sua natureza jurídica. </t>
  </si>
  <si>
    <t>Idade do veículo (ano)</t>
  </si>
  <si>
    <t>Depreciação Média</t>
  </si>
  <si>
    <t>Resumo I - OLEO DIESEL S10 R$/L</t>
  </si>
  <si>
    <t>RELAÇÃO DE POSTOS PESQUISADOS</t>
  </si>
  <si>
    <t>RAZÃO SOCIAL</t>
  </si>
  <si>
    <t>ENDEREÇO</t>
  </si>
  <si>
    <t>BANDEIRA</t>
  </si>
  <si>
    <t>PREÇO VENDA</t>
  </si>
  <si>
    <t>DATA COLETA</t>
  </si>
  <si>
    <t>Posto Lar - Condá</t>
  </si>
  <si>
    <t>Av. Brasília, 540 - Condá, Medianeira</t>
  </si>
  <si>
    <t>Pretrobas</t>
  </si>
  <si>
    <t>Posto Joia</t>
  </si>
  <si>
    <t>Shel</t>
  </si>
  <si>
    <t>Ipiranga</t>
  </si>
  <si>
    <t>Posto Tonin - Praça</t>
  </si>
  <si>
    <t xml:space="preserve">
Avenida Rio Grande do sul 1947, Medianeira, PR</t>
  </si>
  <si>
    <t>N/A</t>
  </si>
  <si>
    <t>MÉDIA</t>
  </si>
  <si>
    <t>DESVIO PADRÃO</t>
  </si>
  <si>
    <t>VALOR MÍNIMO</t>
  </si>
  <si>
    <t>VALOR MÁXIMO</t>
  </si>
  <si>
    <t>PNEU 295 LISO</t>
  </si>
  <si>
    <t>RECAPAGEM 295 LISO</t>
  </si>
  <si>
    <t>PNEU 275 LISO</t>
  </si>
  <si>
    <t>RECAPAGEM 275 LISO</t>
  </si>
  <si>
    <t>RECAPAGEM 275 BORRACHUDO</t>
  </si>
  <si>
    <t>VALOR 1</t>
  </si>
  <si>
    <t>VALOR 2</t>
  </si>
  <si>
    <t>VALOR 3</t>
  </si>
  <si>
    <t>DESCRIÇÃO</t>
  </si>
  <si>
    <r>
      <t xml:space="preserve">DATA DA PESQUISA: </t>
    </r>
    <r>
      <rPr>
        <b/>
        <sz val="10"/>
        <color theme="1"/>
        <rFont val="Arial"/>
        <family val="2"/>
      </rPr>
      <t>05/03/2024</t>
    </r>
  </si>
  <si>
    <t>Av. 24 de Outubro 1940, Medianeira, PR</t>
  </si>
  <si>
    <t>Posto Capri</t>
  </si>
  <si>
    <t>Av. 24 de Outubro, 2676, Medianeira - PR</t>
  </si>
  <si>
    <t>PNEU 215/75</t>
  </si>
  <si>
    <t>PNEU 185R14C KOMBI</t>
  </si>
  <si>
    <t>PNEU 225/75 R16</t>
  </si>
  <si>
    <t xml:space="preserve">Período: De 01/04/2024 a 30/04/2024 </t>
  </si>
  <si>
    <t>CNPJ:</t>
  </si>
  <si>
    <t>RAZÃO SOCIAL LICITANTE</t>
  </si>
  <si>
    <t>PREENCHER</t>
  </si>
  <si>
    <t>PROPONENTE:</t>
  </si>
  <si>
    <t>RELAÇÃO DE PNEUS E RECAPAGENS</t>
  </si>
  <si>
    <t>Veículos considerados para cálculo da depreciação</t>
  </si>
  <si>
    <t>FONTE:</t>
  </si>
  <si>
    <t>https://sefaz.es.gov.br/Media/Sefaz/Ag%C3%AAncia%20Virtual/IPVA%20-%20Base%20C%C3%A1lculo/2019/TABELA%20D%20-%20%C3%94NIBUS%20E%20MICRO%C3%94NIBUS.pdf</t>
  </si>
  <si>
    <t>VALOR</t>
  </si>
  <si>
    <t>ONIBUS 40/50 LUGARES</t>
  </si>
  <si>
    <t>RELAÇÃO DE VEÍCULOS</t>
  </si>
  <si>
    <t>RELAÇÃO DE SALÁRIOS</t>
  </si>
  <si>
    <t>Salários considerados conforme CCT</t>
  </si>
  <si>
    <t>CARGO</t>
  </si>
  <si>
    <t>MARCA/MODELO</t>
  </si>
  <si>
    <t>RECAPAGEM 295 BORRAC.</t>
  </si>
  <si>
    <t>PNEU 275 BORRAC.</t>
  </si>
  <si>
    <t>PNEU 295 BORRAC.</t>
  </si>
  <si>
    <t>MARCOPOLO/VOLARE W8</t>
  </si>
  <si>
    <t>VW INDUSCAR APACHE</t>
  </si>
  <si>
    <t>Tributos - PIS/COFINS</t>
  </si>
  <si>
    <r>
      <t>T (</t>
    </r>
    <r>
      <rPr>
        <sz val="11"/>
        <color rgb="FFFF0000"/>
        <rFont val="Arial"/>
        <family val="2"/>
      </rPr>
      <t>L. Real</t>
    </r>
    <r>
      <rPr>
        <sz val="11"/>
        <rFont val="Arial"/>
        <family val="2"/>
      </rPr>
      <t>)</t>
    </r>
  </si>
  <si>
    <r>
      <rPr>
        <b/>
        <i/>
        <sz val="10"/>
        <color theme="1"/>
        <rFont val="Arial"/>
        <family val="2"/>
      </rPr>
      <t>FONTE</t>
    </r>
    <r>
      <rPr>
        <sz val="10"/>
        <color theme="1"/>
        <rFont val="Arial"/>
        <family val="2"/>
      </rPr>
      <t>: TABELA SEFAZ</t>
    </r>
  </si>
  <si>
    <t>COMBUSTÍVEL - Síntese dos Preços Praticados - Medianeira</t>
  </si>
  <si>
    <t xml:space="preserve"> PNEUS E REPACAGENS - Síntese dos Preços Praticados - Cotação em Banco de Preços</t>
  </si>
  <si>
    <t>DATA DA PESQUISA:</t>
  </si>
  <si>
    <t xml:space="preserve">&gt; Custo fixo total mensal - contempla o somatório total dos custos fixos, dividido pelo número de 10 meses que é o período do ano letivo.  </t>
  </si>
  <si>
    <t xml:space="preserve">&gt;  Km/litro - foi determinado a média de 3,0 km/litro, conforme pesquisa de mercado (considerado 2/3 sobre a média de previsão, em virtude de paradas para embarque e desembarque de alunos e também por ser parte das vias sem pavimentação.   </t>
  </si>
  <si>
    <t xml:space="preserve">&gt; Vistorias obrigatórias semestrais - Certificado de inspeção de segurança veicular, emitido por empresa credenciada Inmetro, Vistoria DETRAN, Certificado de registro e licenciamento veicular (CRLV) e tacógrafo. Valores conforme preço de mercado.  </t>
  </si>
  <si>
    <t>Km total diário</t>
  </si>
  <si>
    <t>ÔNIBUS - mínimo 40 lugares</t>
  </si>
  <si>
    <t xml:space="preserve">Média de dias mês </t>
  </si>
  <si>
    <t>Média de valores veículos (fabricação acima de 2014) - Tabela FIPE/SEFAZ</t>
  </si>
  <si>
    <t>Tempo de espera</t>
  </si>
  <si>
    <t>UNID.</t>
  </si>
  <si>
    <t>QUANT. DIÁRIA</t>
  </si>
  <si>
    <t>QUANT.</t>
  </si>
  <si>
    <t>DIAS</t>
  </si>
  <si>
    <t>KM.</t>
  </si>
  <si>
    <t>ROTA 01- QUARTA-FEIRA:</t>
  </si>
  <si>
    <t xml:space="preserve">Transporte tipo do Veículo: Ônibus mínimo 40 assentos. Conforme Roteiro especificado, destino o CCI- Centro de Convivência da Melhor Idade, sendo ida e volta. Horários 12h45min às 17h30.Quantidade mínima de veículos para atendimento: 01. </t>
  </si>
  <si>
    <t>ROTEIRO 01:</t>
  </si>
  <si>
    <r>
      <t>Horário: 12h45min</t>
    </r>
    <r>
      <rPr>
        <sz val="11"/>
        <color rgb="FF000000"/>
        <rFont val="Arial"/>
        <family val="2"/>
      </rPr>
      <t xml:space="preserve"> </t>
    </r>
  </si>
  <si>
    <r>
      <t>1.</t>
    </r>
    <r>
      <rPr>
        <sz val="7"/>
        <color theme="1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Lajes Patagônia </t>
    </r>
  </si>
  <si>
    <r>
      <t>2.</t>
    </r>
    <r>
      <rPr>
        <sz val="7"/>
        <color theme="1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Parquinho </t>
    </r>
  </si>
  <si>
    <r>
      <t>3.</t>
    </r>
    <r>
      <rPr>
        <sz val="7"/>
        <color theme="1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Rua Jaime Locks </t>
    </r>
  </si>
  <si>
    <r>
      <t>4.</t>
    </r>
    <r>
      <rPr>
        <sz val="7"/>
        <color theme="1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Rua M. Moraes </t>
    </r>
  </si>
  <si>
    <r>
      <t>5.</t>
    </r>
    <r>
      <rPr>
        <sz val="7"/>
        <color theme="1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Rua Rui Barbosa </t>
    </r>
  </si>
  <si>
    <r>
      <t>6.</t>
    </r>
    <r>
      <rPr>
        <sz val="7"/>
        <color theme="1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Rua 12 </t>
    </r>
  </si>
  <si>
    <r>
      <t>7.</t>
    </r>
    <r>
      <rPr>
        <sz val="7"/>
        <color theme="1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Av. Osório Fellini </t>
    </r>
  </si>
  <si>
    <r>
      <t>8.</t>
    </r>
    <r>
      <rPr>
        <sz val="7"/>
        <color theme="1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>Parque das Flores sobe Rua Ivo Endrigo/ Ponto de ônibus</t>
    </r>
  </si>
  <si>
    <r>
      <t>9.</t>
    </r>
    <r>
      <rPr>
        <sz val="7"/>
        <color theme="1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Padaria do Alemão 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</si>
  <si>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Sobe Rua 10 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</si>
  <si>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Escola João Paulo II </t>
    </r>
  </si>
  <si>
    <r>
      <t>12.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Viaduto do Costa Oeste </t>
    </r>
  </si>
  <si>
    <r>
      <t>13.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Avenida Independência / Posto de Saúde </t>
    </r>
  </si>
  <si>
    <r>
      <t>14.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Florianópolis /Escola Carlos Lacerda </t>
    </r>
  </si>
  <si>
    <r>
      <t>15.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Mato Grosso/Ponto de ônibus </t>
    </r>
  </si>
  <si>
    <r>
      <t>16.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UPA </t>
    </r>
  </si>
  <si>
    <r>
      <t>17.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Sorveteria Solemar </t>
    </r>
  </si>
  <si>
    <r>
      <t>18.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Escola Olavo Bilac </t>
    </r>
  </si>
  <si>
    <r>
      <t>19.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Soledade – Água Braga </t>
    </r>
  </si>
  <si>
    <r>
      <t>20.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Igreja Matriz </t>
    </r>
  </si>
  <si>
    <r>
      <t>21.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Supermercado Superama </t>
    </r>
  </si>
  <si>
    <r>
      <t>22.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Tio Caio </t>
    </r>
  </si>
  <si>
    <r>
      <t>23.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>Barraquinha do Nazaré</t>
    </r>
  </si>
  <si>
    <t>ROTEIRO 02:</t>
  </si>
  <si>
    <r>
      <t>1.</t>
    </r>
    <r>
      <rPr>
        <sz val="7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>Mecânica Marafon - Belo Horizonte</t>
    </r>
  </si>
  <si>
    <r>
      <t>2.</t>
    </r>
    <r>
      <rPr>
        <sz val="7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Igreja Católica do Belo Horizonte </t>
    </r>
  </si>
  <si>
    <r>
      <t>3.</t>
    </r>
    <r>
      <rPr>
        <sz val="7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Av. Primo Tacca (2 pontos) </t>
    </r>
  </si>
  <si>
    <r>
      <t>4.</t>
    </r>
    <r>
      <rPr>
        <sz val="7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Bebida Tormes </t>
    </r>
  </si>
  <si>
    <r>
      <t>5.</t>
    </r>
    <r>
      <rPr>
        <sz val="7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Av. Brasilia </t>
    </r>
  </si>
  <si>
    <r>
      <t>6.</t>
    </r>
    <r>
      <rPr>
        <sz val="7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Igreja Católica do Bairro Condá </t>
    </r>
  </si>
  <si>
    <r>
      <t>7.</t>
    </r>
    <r>
      <rPr>
        <sz val="7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Antigo Mercado Baréa </t>
    </r>
  </si>
  <si>
    <r>
      <t>8.</t>
    </r>
    <r>
      <rPr>
        <sz val="7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Av. Primo Tacca (em frente Panificadora) </t>
    </r>
  </si>
  <si>
    <r>
      <t>9.</t>
    </r>
    <r>
      <rPr>
        <sz val="7"/>
        <color rgb="FF000000"/>
        <rFont val="Times New Roman"/>
        <family val="1"/>
      </rPr>
      <t xml:space="preserve">    </t>
    </r>
    <r>
      <rPr>
        <sz val="11"/>
        <color rgb="FF000000"/>
        <rFont val="Arial"/>
        <family val="2"/>
      </rPr>
      <t xml:space="preserve">Lajes Patagônia </t>
    </r>
  </si>
  <si>
    <r>
      <t>10.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Parquinho </t>
    </r>
  </si>
  <si>
    <r>
      <t>11.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Rua M. Moraes </t>
    </r>
  </si>
  <si>
    <r>
      <t>12.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Rua Rui Barbosa </t>
    </r>
  </si>
  <si>
    <r>
      <t>13.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Rua 12 </t>
    </r>
  </si>
  <si>
    <r>
      <t>14.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Escola João Paulo II </t>
    </r>
  </si>
  <si>
    <r>
      <t>15.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Viaduto do Costa Oeste </t>
    </r>
  </si>
  <si>
    <r>
      <t>16.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Avenida Independência / Posto de Saúde </t>
    </r>
  </si>
  <si>
    <r>
      <t>17.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Florianópolis /Escola Carlos Lacerda </t>
    </r>
  </si>
  <si>
    <r>
      <t>18.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Mato Grosso/Ponto de ônibus </t>
    </r>
  </si>
  <si>
    <r>
      <t>19.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UPA </t>
    </r>
  </si>
  <si>
    <r>
      <t>20.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Sorveteria Solemar </t>
    </r>
  </si>
  <si>
    <r>
      <t>21.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Escola Olavo Bilac </t>
    </r>
  </si>
  <si>
    <r>
      <t>22.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Soledade – Água Braga </t>
    </r>
  </si>
  <si>
    <r>
      <t>23.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Supermercado Superama </t>
    </r>
  </si>
  <si>
    <r>
      <t>24.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Rua Piauí </t>
    </r>
  </si>
  <si>
    <r>
      <t>25.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Barraquinha do Nazaré </t>
    </r>
  </si>
  <si>
    <r>
      <t>26.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 xml:space="preserve">Antigo Mercado Baréa </t>
    </r>
  </si>
  <si>
    <r>
      <t>27.</t>
    </r>
    <r>
      <rPr>
        <sz val="7"/>
        <color rgb="FF000000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>Av. Primo Tacca (em frente Panificadora)</t>
    </r>
  </si>
  <si>
    <t>ROTAS 1: CCI - Centro de Convivência da Melhor Idade, sendo ida e volta. Horários ida 12h45min volta às 17h30</t>
  </si>
  <si>
    <t>ROTAS 3: CCI - Centro de Convivência da Melhor Idade, sendo ida e volta. Horários ida 12h45min volta às 17h30</t>
  </si>
  <si>
    <t>AUXILIO ALIMENTAÇÃO</t>
  </si>
  <si>
    <t xml:space="preserve">5- PREÇO MENSAL TOTAL COM O TRANSPORTE  </t>
  </si>
  <si>
    <t>MICRO ONIBUS - 26 LUGARES</t>
  </si>
  <si>
    <t>MICRO-ÔNIBUS - mínimo 26 lugares</t>
  </si>
  <si>
    <r>
      <t xml:space="preserve">R$ seguro / passageiros /mês - </t>
    </r>
    <r>
      <rPr>
        <b/>
        <sz val="12"/>
        <color rgb="FFFF0000"/>
        <rFont val="Arial"/>
        <family val="2"/>
      </rPr>
      <t>não há previsão de número de passageiros - transporte coletivo</t>
    </r>
  </si>
  <si>
    <t>&gt; Depreciação anual - Considerando que uma vida útil de 10 anos possuí depreciação.</t>
  </si>
  <si>
    <t xml:space="preserve">&gt; Seguro de Terceiros ano - Conforme orçamento solicitado junto ao mercado. Valor de cobertura Total deve ser de no mínimo de 300 mil reais.  </t>
  </si>
  <si>
    <t xml:space="preserve">&gt; Custo do motorista - Foi determinado conforme tempo conduzindo o veículo nas rotas, bem como do tempo de espera até à próxima rota. O valor foi determinado conforme convenção coletiva da categoria de trabalho vigente.
O valor anual foi determinado multiplicando por 11 meses, pois o 12 mês está previsto às férias,  já contemplado nos custos dos encargos, mais 20% dos encargos deste mês. 
Obs: Cada empresa deve prever os encargos sociais de acordo com a sua natureza jurídica.  </t>
  </si>
  <si>
    <t xml:space="preserve">&gt; BDI - Benefícios e Despesas Indiretas - foram determinados em estudo de mercado e ajustado conforme legislação atual.   
Obs: Cada empresa deve prever os Benefícios e Despesas Indiretas de acordo com a sua natureza jurídica.  </t>
  </si>
  <si>
    <t xml:space="preserve">&gt; Preço mensal total com transporte - é o somatório das despesas operacionais, mais o BDI, para 4 dias de operação no mês, sendo que o valor pode variar dependo do aumento ou a diminuição do número de eventos no mês correspondente.  </t>
  </si>
  <si>
    <t xml:space="preserve">&gt; Preço máximo por quilômetro rodado - é o preço mensal total com o transporte, dividido pela quilometragem média percorrida no mês.  </t>
  </si>
  <si>
    <t>&gt;  Distância percorrida da rota - determinado conforme tabela 'Roteiros'</t>
  </si>
  <si>
    <t>&gt;  Combustível - óleo diesel, conforme determinado no manual do fabricante e da definição do veículo a ser utilizado.</t>
  </si>
  <si>
    <t xml:space="preserve">5- PREÇO MENSAL TOTAL COM O TRANSPORTE </t>
  </si>
  <si>
    <t>Transporte Coletivo ao Centro de Convivência do Idoso - Medianeira/PR.</t>
  </si>
  <si>
    <t>Total de dias/ano</t>
  </si>
  <si>
    <t>Total de KM/ano</t>
  </si>
  <si>
    <t>2</t>
  </si>
  <si>
    <t xml:space="preserve">Transporte tipo do Veículo: Micro-Ônibus mínimo 40 assentos. Conforme Roteiro especificado, destino o CCI- Centro de Convivência da Melhor Idade, sendo ida e volta. Horários ida 12h45min volta às 17h30. Quantidade mínima de veículos para atendimento: 01. </t>
  </si>
  <si>
    <t>ROTA 02 – SÁBADO:</t>
  </si>
  <si>
    <t>Subtotal + IPVA</t>
  </si>
  <si>
    <t>https://wordpress-direta.s3.sa-east-1.amazonaws.com/sites/329/wp-content/uploads/2024/07/04142843/SINFRETIBA-SINDICATO-DAS-EMPRESAS-DE-TRANSPORTE-DE-PASSAGEIROS-POR-FRETAMENTO.pdf</t>
  </si>
  <si>
    <t>NÚMERO DE REGISTRO NO MTE: PR001467/2024</t>
  </si>
  <si>
    <t>DATA DE REGISTRO NO MTE: 19/06/2024</t>
  </si>
  <si>
    <t xml:space="preserve">MOTORISTA DE ONIBUS </t>
  </si>
  <si>
    <t xml:space="preserve">MOTORISTA DE MICRO-ONIBUS </t>
  </si>
  <si>
    <t>NÚMERO DA SOLICITAÇÃO: MR026470/2024</t>
  </si>
  <si>
    <t>NÚMERO DO PROCESSO: 13068.204508/2024-28</t>
  </si>
  <si>
    <t>ATA DO PROTOCOLO: 19/06/2024</t>
  </si>
  <si>
    <t>MEDIANEIRA/PR - PREGÃO ELETRÔNICO 67/2024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</si>
</sst>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[$-F800]dddd\,\ mmmm\ dd\,\ yyyy"/>
    <numFmt numFmtId="166" formatCode="#,##0.000"/>
    <numFmt numFmtId="167" formatCode="_(* #,##0_);_(* \(#,##0\);_(* &quot;-&quot;??_);_(@_)"/>
    <numFmt numFmtId="168" formatCode="_-&quot;R$&quot;\ * #,##0.00_-;\-&quot;R$&quot;\ * #,##0.00_-;_-&quot;R$&quot;\ * &quot;-&quot;??_-;_-@"/>
    <numFmt numFmtId="169" formatCode="&quot;R$ &quot;#,##0.00"/>
    <numFmt numFmtId="170" formatCode="_(&quot;R$ &quot;* #,##0.00_);_(&quot;R$ &quot;* \(#,##0.00\);_(&quot;R$ &quot;* &quot;-&quot;??_);_(@_)"/>
    <numFmt numFmtId="171" formatCode="&quot;R$&quot;\ #,##0.00"/>
  </numFmts>
  <fonts count="47" x14ac:knownFonts="1">
    <font>
      <sz val="10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color indexed="2"/>
      <name val="Arial"/>
      <family val="2"/>
    </font>
    <font>
      <b/>
      <sz val="12"/>
      <color indexed="2"/>
      <name val="Arial"/>
      <family val="2"/>
    </font>
    <font>
      <sz val="12"/>
      <color indexed="2"/>
      <name val="Arial"/>
      <family val="2"/>
    </font>
    <font>
      <b/>
      <sz val="10"/>
      <color indexed="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2"/>
      <color indexed="60"/>
      <name val="Arial"/>
      <family val="2"/>
    </font>
    <font>
      <b/>
      <sz val="13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Arial"/>
      <family val="2"/>
    </font>
    <font>
      <sz val="13"/>
      <name val="Arial"/>
      <family val="2"/>
    </font>
    <font>
      <u/>
      <sz val="10"/>
      <color indexed="4"/>
      <name val="Arial"/>
      <family val="2"/>
    </font>
    <font>
      <sz val="10"/>
      <color theme="1"/>
      <name val="Arial"/>
      <family val="2"/>
    </font>
    <font>
      <b/>
      <u/>
      <sz val="12"/>
      <name val="Arial"/>
      <family val="2"/>
    </font>
    <font>
      <b/>
      <sz val="12"/>
      <name val="Times New Roman"/>
      <family val="1"/>
    </font>
    <font>
      <u/>
      <sz val="14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b/>
      <i/>
      <sz val="10"/>
      <name val="Calibri"/>
      <family val="2"/>
    </font>
    <font>
      <b/>
      <i/>
      <sz val="11"/>
      <name val="Calibri"/>
      <family val="2"/>
    </font>
    <font>
      <b/>
      <i/>
      <sz val="10"/>
      <color theme="1"/>
      <name val="Arial"/>
      <family val="2"/>
    </font>
    <font>
      <sz val="11"/>
      <color rgb="FFFF0000"/>
      <name val="Arial"/>
      <family val="2"/>
    </font>
    <font>
      <b/>
      <sz val="12"/>
      <color theme="10"/>
      <name val="Arial"/>
      <family val="2"/>
    </font>
    <font>
      <b/>
      <sz val="12"/>
      <color theme="0"/>
      <name val="Calibri"/>
      <family val="2"/>
    </font>
    <font>
      <sz val="12"/>
      <color theme="0"/>
      <name val="Arial"/>
      <family val="2"/>
    </font>
    <font>
      <b/>
      <sz val="11"/>
      <color rgb="FF000000"/>
      <name val="Arial"/>
      <family val="2"/>
    </font>
    <font>
      <b/>
      <u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rgb="FF000000"/>
      <name val="Arial"/>
      <family val="2"/>
    </font>
    <font>
      <sz val="7"/>
      <color theme="1"/>
      <name val="Times New Roman"/>
      <family val="1"/>
    </font>
    <font>
      <sz val="7"/>
      <color rgb="FF000000"/>
      <name val="Times New Roman"/>
      <family val="1"/>
    </font>
    <font>
      <u/>
      <sz val="16"/>
      <color theme="10"/>
      <name val="Arial"/>
      <family val="2"/>
    </font>
    <font>
      <b/>
      <sz val="12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C6D9F0"/>
        <bgColor rgb="FFC6D9F0"/>
      </patternFill>
    </fill>
    <fill>
      <patternFill patternType="solid">
        <fgColor rgb="FFD6E3BC"/>
        <bgColor rgb="FFD6E3BC"/>
      </patternFill>
    </fill>
    <fill>
      <patternFill patternType="solid">
        <fgColor theme="0"/>
        <bgColor theme="0"/>
      </patternFill>
    </fill>
    <fill>
      <patternFill patternType="solid">
        <fgColor indexed="44"/>
        <bgColor indexed="44"/>
      </patternFill>
    </fill>
    <fill>
      <patternFill patternType="solid">
        <fgColor rgb="FFBFBFBF"/>
        <bgColor rgb="FFBFBFBF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indexed="5"/>
        <bgColor indexed="5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DDD9C3"/>
        <bgColor rgb="FFDDD9C3"/>
      </patternFill>
    </fill>
    <fill>
      <patternFill patternType="solid">
        <fgColor theme="0"/>
        <bgColor indexed="5"/>
      </patternFill>
    </fill>
    <fill>
      <patternFill patternType="solid">
        <fgColor rgb="FFEEECE1"/>
        <bgColor rgb="FFEEECE1"/>
      </patternFill>
    </fill>
    <fill>
      <patternFill patternType="solid">
        <fgColor indexed="54"/>
        <bgColor indexed="5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theme="0"/>
      </patternFill>
    </fill>
  </fills>
  <borders count="6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/>
      <top/>
      <bottom/>
      <diagonal/>
    </border>
  </borders>
  <cellStyleXfs count="10">
    <xf numFmtId="0" fontId="0" fillId="0" borderId="0"/>
    <xf numFmtId="44" fontId="24" fillId="0" borderId="0" applyFont="0" applyFill="0" applyBorder="0" applyProtection="0"/>
    <xf numFmtId="0" fontId="3" fillId="2" borderId="0" applyNumberFormat="0" applyBorder="0"/>
    <xf numFmtId="43" fontId="24" fillId="0" borderId="0" applyFont="0" applyFill="0" applyBorder="0" applyProtection="0"/>
    <xf numFmtId="0" fontId="2" fillId="0" borderId="0"/>
    <xf numFmtId="0" fontId="31" fillId="0" borderId="0" applyNumberFormat="0" applyFill="0" applyBorder="0" applyAlignment="0" applyProtection="0"/>
    <xf numFmtId="0" fontId="24" fillId="0" borderId="0"/>
    <xf numFmtId="44" fontId="24" fillId="0" borderId="0" applyFont="0" applyFill="0" applyBorder="0" applyProtection="0"/>
    <xf numFmtId="43" fontId="24" fillId="0" borderId="0" applyFont="0" applyFill="0" applyBorder="0" applyProtection="0"/>
    <xf numFmtId="0" fontId="1" fillId="0" borderId="0"/>
  </cellStyleXfs>
  <cellXfs count="461">
    <xf numFmtId="0" fontId="0" fillId="0" borderId="0" xfId="0"/>
    <xf numFmtId="4" fontId="4" fillId="0" borderId="0" xfId="0" applyNumberFormat="1" applyFont="1"/>
    <xf numFmtId="4" fontId="4" fillId="0" borderId="0" xfId="0" applyNumberFormat="1" applyFont="1" applyAlignment="1">
      <alignment horizontal="center"/>
    </xf>
    <xf numFmtId="4" fontId="6" fillId="0" borderId="0" xfId="0" applyNumberFormat="1" applyFont="1"/>
    <xf numFmtId="0" fontId="4" fillId="0" borderId="0" xfId="0" applyFont="1" applyAlignment="1">
      <alignment horizontal="center" vertical="center"/>
    </xf>
    <xf numFmtId="4" fontId="4" fillId="0" borderId="5" xfId="0" applyNumberFormat="1" applyFont="1" applyBorder="1" applyAlignment="1">
      <alignment horizontal="center"/>
    </xf>
    <xf numFmtId="0" fontId="5" fillId="0" borderId="0" xfId="0" applyFont="1"/>
    <xf numFmtId="0" fontId="5" fillId="5" borderId="0" xfId="0" applyFont="1" applyFill="1"/>
    <xf numFmtId="4" fontId="6" fillId="5" borderId="0" xfId="0" applyNumberFormat="1" applyFont="1" applyFill="1"/>
    <xf numFmtId="4" fontId="6" fillId="0" borderId="0" xfId="0" applyNumberFormat="1" applyFont="1" applyAlignment="1">
      <alignment horizontal="right"/>
    </xf>
    <xf numFmtId="4" fontId="11" fillId="0" borderId="0" xfId="0" applyNumberFormat="1" applyFont="1"/>
    <xf numFmtId="0" fontId="12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left"/>
    </xf>
    <xf numFmtId="4" fontId="8" fillId="0" borderId="5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4" fillId="0" borderId="5" xfId="0" applyNumberFormat="1" applyFont="1" applyBorder="1"/>
    <xf numFmtId="166" fontId="6" fillId="0" borderId="0" xfId="0" applyNumberFormat="1" applyFont="1"/>
    <xf numFmtId="4" fontId="4" fillId="11" borderId="5" xfId="0" applyNumberFormat="1" applyFont="1" applyFill="1" applyBorder="1"/>
    <xf numFmtId="4" fontId="4" fillId="11" borderId="5" xfId="0" applyNumberFormat="1" applyFont="1" applyFill="1" applyBorder="1" applyAlignment="1">
      <alignment horizontal="center"/>
    </xf>
    <xf numFmtId="164" fontId="6" fillId="0" borderId="5" xfId="0" applyNumberFormat="1" applyFont="1" applyBorder="1"/>
    <xf numFmtId="164" fontId="6" fillId="0" borderId="0" xfId="0" applyNumberFormat="1" applyFont="1"/>
    <xf numFmtId="0" fontId="13" fillId="12" borderId="9" xfId="0" applyFont="1" applyFill="1" applyBorder="1" applyAlignment="1">
      <alignment horizontal="center" vertical="center"/>
    </xf>
    <xf numFmtId="0" fontId="13" fillId="12" borderId="10" xfId="0" applyFont="1" applyFill="1" applyBorder="1" applyAlignment="1">
      <alignment horizontal="center" vertical="center"/>
    </xf>
    <xf numFmtId="164" fontId="13" fillId="12" borderId="10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164" fontId="7" fillId="10" borderId="11" xfId="0" applyNumberFormat="1" applyFont="1" applyFill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3" fontId="5" fillId="1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/>
    </xf>
    <xf numFmtId="4" fontId="5" fillId="0" borderId="0" xfId="0" applyNumberFormat="1" applyFont="1"/>
    <xf numFmtId="10" fontId="6" fillId="0" borderId="5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3" fontId="6" fillId="0" borderId="5" xfId="0" applyNumberFormat="1" applyFont="1" applyBorder="1"/>
    <xf numFmtId="164" fontId="6" fillId="0" borderId="5" xfId="0" applyNumberFormat="1" applyFont="1" applyBorder="1" applyAlignment="1">
      <alignment vertical="center" wrapText="1"/>
    </xf>
    <xf numFmtId="3" fontId="6" fillId="0" borderId="5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13" fillId="12" borderId="13" xfId="0" applyNumberFormat="1" applyFont="1" applyFill="1" applyBorder="1" applyAlignment="1">
      <alignment horizontal="center" vertical="center"/>
    </xf>
    <xf numFmtId="164" fontId="13" fillId="12" borderId="13" xfId="0" applyNumberFormat="1" applyFont="1" applyFill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164" fontId="6" fillId="10" borderId="11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2" fontId="4" fillId="0" borderId="0" xfId="0" applyNumberFormat="1" applyFont="1"/>
    <xf numFmtId="3" fontId="6" fillId="10" borderId="5" xfId="0" applyNumberFormat="1" applyFont="1" applyFill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4" fillId="12" borderId="14" xfId="0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center" vertical="center"/>
    </xf>
    <xf numFmtId="164" fontId="4" fillId="12" borderId="13" xfId="0" applyNumberFormat="1" applyFont="1" applyFill="1" applyBorder="1" applyAlignment="1">
      <alignment horizontal="center" vertical="center"/>
    </xf>
    <xf numFmtId="164" fontId="4" fillId="12" borderId="15" xfId="0" applyNumberFormat="1" applyFont="1" applyFill="1" applyBorder="1" applyAlignment="1">
      <alignment horizontal="center" vertical="center"/>
    </xf>
    <xf numFmtId="10" fontId="5" fillId="0" borderId="0" xfId="0" applyNumberFormat="1" applyFont="1"/>
    <xf numFmtId="0" fontId="4" fillId="0" borderId="11" xfId="0" applyFont="1" applyBorder="1" applyAlignment="1">
      <alignment vertical="center"/>
    </xf>
    <xf numFmtId="10" fontId="6" fillId="3" borderId="5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6" fillId="0" borderId="5" xfId="0" applyFont="1" applyBorder="1" applyAlignment="1">
      <alignment vertical="center"/>
    </xf>
    <xf numFmtId="10" fontId="6" fillId="0" borderId="5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168" fontId="4" fillId="12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8" fontId="4" fillId="12" borderId="1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8" fontId="4" fillId="12" borderId="12" xfId="0" applyNumberFormat="1" applyFont="1" applyFill="1" applyBorder="1" applyAlignment="1">
      <alignment vertical="center"/>
    </xf>
    <xf numFmtId="4" fontId="4" fillId="0" borderId="14" xfId="0" applyNumberFormat="1" applyFont="1" applyBorder="1"/>
    <xf numFmtId="4" fontId="5" fillId="0" borderId="13" xfId="0" applyNumberFormat="1" applyFont="1" applyBorder="1"/>
    <xf numFmtId="4" fontId="4" fillId="0" borderId="15" xfId="0" applyNumberFormat="1" applyFont="1" applyBorder="1"/>
    <xf numFmtId="164" fontId="14" fillId="0" borderId="19" xfId="0" applyNumberFormat="1" applyFont="1" applyBorder="1" applyAlignment="1">
      <alignment horizontal="center" vertical="center"/>
    </xf>
    <xf numFmtId="164" fontId="15" fillId="0" borderId="7" xfId="0" applyNumberFormat="1" applyFont="1" applyBorder="1" applyAlignment="1">
      <alignment vertical="center"/>
    </xf>
    <xf numFmtId="164" fontId="14" fillId="0" borderId="8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14" fillId="0" borderId="20" xfId="0" applyNumberFormat="1" applyFont="1" applyBorder="1" applyAlignment="1">
      <alignment horizontal="center" vertical="center"/>
    </xf>
    <xf numFmtId="164" fontId="14" fillId="0" borderId="21" xfId="0" applyNumberFormat="1" applyFont="1" applyBorder="1" applyAlignment="1">
      <alignment vertical="center"/>
    </xf>
    <xf numFmtId="164" fontId="14" fillId="0" borderId="0" xfId="0" applyNumberFormat="1" applyFont="1" applyAlignment="1">
      <alignment vertical="center"/>
    </xf>
    <xf numFmtId="164" fontId="14" fillId="0" borderId="22" xfId="0" applyNumberFormat="1" applyFont="1" applyBorder="1" applyAlignment="1">
      <alignment vertical="center"/>
    </xf>
    <xf numFmtId="10" fontId="14" fillId="0" borderId="20" xfId="0" applyNumberFormat="1" applyFont="1" applyBorder="1" applyAlignment="1">
      <alignment vertical="center"/>
    </xf>
    <xf numFmtId="164" fontId="15" fillId="0" borderId="19" xfId="0" applyNumberFormat="1" applyFont="1" applyBorder="1" applyAlignment="1">
      <alignment vertical="center"/>
    </xf>
    <xf numFmtId="164" fontId="15" fillId="0" borderId="8" xfId="0" applyNumberFormat="1" applyFont="1" applyBorder="1" applyAlignment="1">
      <alignment vertical="center"/>
    </xf>
    <xf numFmtId="10" fontId="15" fillId="0" borderId="20" xfId="0" applyNumberFormat="1" applyFont="1" applyBorder="1" applyAlignment="1">
      <alignment vertical="center"/>
    </xf>
    <xf numFmtId="164" fontId="15" fillId="0" borderId="23" xfId="0" applyNumberFormat="1" applyFont="1" applyBorder="1" applyAlignment="1">
      <alignment vertical="center"/>
    </xf>
    <xf numFmtId="164" fontId="15" fillId="0" borderId="24" xfId="0" applyNumberFormat="1" applyFont="1" applyBorder="1" applyAlignment="1">
      <alignment vertical="center"/>
    </xf>
    <xf numFmtId="164" fontId="15" fillId="0" borderId="25" xfId="0" applyNumberFormat="1" applyFont="1" applyBorder="1" applyAlignment="1">
      <alignment vertical="center"/>
    </xf>
    <xf numFmtId="164" fontId="15" fillId="0" borderId="5" xfId="0" applyNumberFormat="1" applyFont="1" applyBorder="1" applyAlignment="1">
      <alignment vertical="center"/>
    </xf>
    <xf numFmtId="164" fontId="14" fillId="0" borderId="23" xfId="0" applyNumberFormat="1" applyFont="1" applyBorder="1" applyAlignment="1">
      <alignment vertical="center"/>
    </xf>
    <xf numFmtId="164" fontId="14" fillId="0" borderId="19" xfId="0" applyNumberFormat="1" applyFont="1" applyBorder="1" applyAlignment="1">
      <alignment vertical="center"/>
    </xf>
    <xf numFmtId="164" fontId="14" fillId="0" borderId="7" xfId="0" applyNumberFormat="1" applyFont="1" applyBorder="1" applyAlignment="1">
      <alignment vertical="center"/>
    </xf>
    <xf numFmtId="164" fontId="14" fillId="0" borderId="25" xfId="0" applyNumberFormat="1" applyFont="1" applyBorder="1" applyAlignment="1">
      <alignment vertical="center"/>
    </xf>
    <xf numFmtId="164" fontId="14" fillId="0" borderId="19" xfId="0" applyNumberFormat="1" applyFont="1" applyBorder="1" applyAlignment="1">
      <alignment horizontal="left" vertical="center"/>
    </xf>
    <xf numFmtId="4" fontId="14" fillId="0" borderId="7" xfId="0" applyNumberFormat="1" applyFont="1" applyBorder="1" applyAlignment="1">
      <alignment horizontal="center" vertical="center"/>
    </xf>
    <xf numFmtId="164" fontId="14" fillId="0" borderId="26" xfId="0" applyNumberFormat="1" applyFont="1" applyBorder="1" applyAlignment="1">
      <alignment horizontal="left" vertical="center"/>
    </xf>
    <xf numFmtId="4" fontId="14" fillId="0" borderId="27" xfId="0" applyNumberFormat="1" applyFont="1" applyBorder="1" applyAlignment="1">
      <alignment horizontal="center" vertical="center"/>
    </xf>
    <xf numFmtId="164" fontId="14" fillId="0" borderId="27" xfId="0" applyNumberFormat="1" applyFont="1" applyBorder="1" applyAlignment="1">
      <alignment vertical="center"/>
    </xf>
    <xf numFmtId="164" fontId="14" fillId="0" borderId="28" xfId="0" applyNumberFormat="1" applyFont="1" applyBorder="1" applyAlignment="1">
      <alignment vertical="center"/>
    </xf>
    <xf numFmtId="169" fontId="14" fillId="0" borderId="28" xfId="0" applyNumberFormat="1" applyFont="1" applyBorder="1" applyAlignment="1">
      <alignment vertical="center"/>
    </xf>
    <xf numFmtId="10" fontId="14" fillId="0" borderId="29" xfId="0" applyNumberFormat="1" applyFont="1" applyBorder="1" applyAlignment="1">
      <alignment vertical="center"/>
    </xf>
    <xf numFmtId="164" fontId="14" fillId="0" borderId="14" xfId="0" applyNumberFormat="1" applyFont="1" applyBorder="1" applyAlignment="1">
      <alignment horizontal="left" vertical="center"/>
    </xf>
    <xf numFmtId="4" fontId="14" fillId="0" borderId="13" xfId="0" applyNumberFormat="1" applyFont="1" applyBorder="1" applyAlignment="1">
      <alignment horizontal="center" vertical="center"/>
    </xf>
    <xf numFmtId="164" fontId="14" fillId="0" borderId="13" xfId="0" applyNumberFormat="1" applyFont="1" applyBorder="1" applyAlignment="1">
      <alignment vertical="center"/>
    </xf>
    <xf numFmtId="10" fontId="14" fillId="0" borderId="15" xfId="0" applyNumberFormat="1" applyFont="1" applyBorder="1" applyAlignment="1">
      <alignment vertical="center"/>
    </xf>
    <xf numFmtId="4" fontId="15" fillId="0" borderId="30" xfId="0" applyNumberFormat="1" applyFont="1" applyBorder="1"/>
    <xf numFmtId="4" fontId="15" fillId="0" borderId="31" xfId="0" applyNumberFormat="1" applyFont="1" applyBorder="1"/>
    <xf numFmtId="4" fontId="15" fillId="0" borderId="32" xfId="0" applyNumberFormat="1" applyFont="1" applyBorder="1"/>
    <xf numFmtId="4" fontId="14" fillId="0" borderId="33" xfId="0" applyNumberFormat="1" applyFont="1" applyBorder="1"/>
    <xf numFmtId="4" fontId="15" fillId="0" borderId="5" xfId="0" applyNumberFormat="1" applyFont="1" applyBorder="1"/>
    <xf numFmtId="4" fontId="14" fillId="0" borderId="20" xfId="0" applyNumberFormat="1" applyFont="1" applyBorder="1"/>
    <xf numFmtId="3" fontId="14" fillId="0" borderId="20" xfId="0" applyNumberFormat="1" applyFont="1" applyBorder="1"/>
    <xf numFmtId="4" fontId="15" fillId="5" borderId="5" xfId="0" applyNumberFormat="1" applyFont="1" applyFill="1" applyBorder="1"/>
    <xf numFmtId="4" fontId="14" fillId="0" borderId="34" xfId="0" applyNumberFormat="1" applyFont="1" applyBorder="1"/>
    <xf numFmtId="4" fontId="14" fillId="0" borderId="35" xfId="0" applyNumberFormat="1" applyFont="1" applyBorder="1"/>
    <xf numFmtId="4" fontId="14" fillId="5" borderId="35" xfId="0" applyNumberFormat="1" applyFont="1" applyFill="1" applyBorder="1"/>
    <xf numFmtId="4" fontId="14" fillId="0" borderId="36" xfId="0" applyNumberFormat="1" applyFont="1" applyBorder="1"/>
    <xf numFmtId="4" fontId="15" fillId="0" borderId="0" xfId="0" applyNumberFormat="1" applyFont="1" applyAlignment="1">
      <alignment horizontal="left"/>
    </xf>
    <xf numFmtId="4" fontId="4" fillId="10" borderId="0" xfId="0" applyNumberFormat="1" applyFont="1" applyFill="1"/>
    <xf numFmtId="170" fontId="12" fillId="10" borderId="0" xfId="0" applyNumberFormat="1" applyFont="1" applyFill="1"/>
    <xf numFmtId="170" fontId="16" fillId="0" borderId="0" xfId="0" applyNumberFormat="1" applyFont="1"/>
    <xf numFmtId="4" fontId="14" fillId="0" borderId="0" xfId="0" applyNumberFormat="1" applyFont="1" applyAlignment="1">
      <alignment horizontal="left"/>
    </xf>
    <xf numFmtId="4" fontId="15" fillId="0" borderId="0" xfId="0" applyNumberFormat="1" applyFont="1"/>
    <xf numFmtId="4" fontId="18" fillId="0" borderId="0" xfId="0" applyNumberFormat="1" applyFont="1"/>
    <xf numFmtId="4" fontId="15" fillId="0" borderId="0" xfId="0" applyNumberFormat="1" applyFont="1" applyAlignment="1">
      <alignment horizontal="right"/>
    </xf>
    <xf numFmtId="4" fontId="13" fillId="12" borderId="14" xfId="0" applyNumberFormat="1" applyFont="1" applyFill="1" applyBorder="1" applyAlignment="1">
      <alignment horizontal="center" vertical="center"/>
    </xf>
    <xf numFmtId="0" fontId="0" fillId="5" borderId="0" xfId="0" applyFill="1"/>
    <xf numFmtId="164" fontId="6" fillId="10" borderId="5" xfId="0" applyNumberFormat="1" applyFont="1" applyFill="1" applyBorder="1" applyAlignment="1">
      <alignment horizontal="center" vertical="center"/>
    </xf>
    <xf numFmtId="0" fontId="7" fillId="5" borderId="0" xfId="0" applyFont="1" applyFill="1"/>
    <xf numFmtId="0" fontId="19" fillId="5" borderId="0" xfId="0" applyFont="1" applyFill="1"/>
    <xf numFmtId="0" fontId="14" fillId="0" borderId="0" xfId="0" applyFont="1" applyAlignment="1">
      <alignment vertical="center"/>
    </xf>
    <xf numFmtId="0" fontId="16" fillId="0" borderId="33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2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10" fontId="21" fillId="5" borderId="20" xfId="0" applyNumberFormat="1" applyFont="1" applyFill="1" applyBorder="1" applyAlignment="1">
      <alignment horizontal="right" vertical="center"/>
    </xf>
    <xf numFmtId="10" fontId="16" fillId="0" borderId="20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left" vertical="center"/>
    </xf>
    <xf numFmtId="10" fontId="12" fillId="0" borderId="20" xfId="0" applyNumberFormat="1" applyFont="1" applyBorder="1" applyAlignment="1">
      <alignment horizontal="right" vertical="center"/>
    </xf>
    <xf numFmtId="0" fontId="16" fillId="13" borderId="33" xfId="0" applyFont="1" applyFill="1" applyBorder="1" applyAlignment="1">
      <alignment horizontal="left" vertical="center"/>
    </xf>
    <xf numFmtId="0" fontId="12" fillId="13" borderId="5" xfId="0" applyFont="1" applyFill="1" applyBorder="1" applyAlignment="1">
      <alignment horizontal="left" vertical="center"/>
    </xf>
    <xf numFmtId="10" fontId="12" fillId="13" borderId="20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9" fontId="16" fillId="0" borderId="0" xfId="0" applyNumberFormat="1" applyFont="1" applyAlignment="1">
      <alignment horizontal="right" vertical="center"/>
    </xf>
    <xf numFmtId="0" fontId="16" fillId="0" borderId="5" xfId="0" applyFont="1" applyBorder="1" applyAlignment="1">
      <alignment horizontal="left" vertical="center" wrapText="1"/>
    </xf>
    <xf numFmtId="0" fontId="16" fillId="14" borderId="34" xfId="0" applyFont="1" applyFill="1" applyBorder="1" applyAlignment="1">
      <alignment horizontal="left" vertical="center"/>
    </xf>
    <xf numFmtId="0" fontId="12" fillId="14" borderId="35" xfId="0" applyFont="1" applyFill="1" applyBorder="1" applyAlignment="1">
      <alignment horizontal="left" vertical="center"/>
    </xf>
    <xf numFmtId="10" fontId="12" fillId="14" borderId="36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10" fontId="12" fillId="0" borderId="0" xfId="0" applyNumberFormat="1" applyFont="1" applyAlignment="1">
      <alignment horizontal="right" vertical="center"/>
    </xf>
    <xf numFmtId="0" fontId="0" fillId="9" borderId="0" xfId="0" applyFill="1" applyAlignment="1">
      <alignment horizontal="left" vertical="center"/>
    </xf>
    <xf numFmtId="10" fontId="16" fillId="0" borderId="0" xfId="0" applyNumberFormat="1" applyFont="1" applyAlignment="1">
      <alignment horizontal="right" vertical="center"/>
    </xf>
    <xf numFmtId="0" fontId="16" fillId="9" borderId="0" xfId="0" applyFont="1" applyFill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12" fillId="0" borderId="21" xfId="0" applyFont="1" applyBorder="1" applyAlignment="1">
      <alignment horizontal="left" vertical="center"/>
    </xf>
    <xf numFmtId="0" fontId="16" fillId="0" borderId="53" xfId="0" applyFont="1" applyBorder="1"/>
    <xf numFmtId="0" fontId="16" fillId="0" borderId="4" xfId="0" applyFont="1" applyBorder="1"/>
    <xf numFmtId="9" fontId="16" fillId="0" borderId="33" xfId="0" applyNumberFormat="1" applyFont="1" applyBorder="1"/>
    <xf numFmtId="9" fontId="16" fillId="0" borderId="5" xfId="0" applyNumberFormat="1" applyFont="1" applyBorder="1" applyAlignment="1">
      <alignment horizontal="center"/>
    </xf>
    <xf numFmtId="9" fontId="16" fillId="0" borderId="20" xfId="0" applyNumberFormat="1" applyFont="1" applyBorder="1"/>
    <xf numFmtId="0" fontId="16" fillId="0" borderId="49" xfId="0" applyFont="1" applyBorder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10" fontId="16" fillId="16" borderId="50" xfId="0" applyNumberFormat="1" applyFont="1" applyFill="1" applyBorder="1" applyAlignment="1">
      <alignment horizontal="center" vertical="center"/>
    </xf>
    <xf numFmtId="10" fontId="16" fillId="0" borderId="49" xfId="0" applyNumberFormat="1" applyFont="1" applyBorder="1" applyAlignment="1">
      <alignment horizontal="right"/>
    </xf>
    <xf numFmtId="10" fontId="16" fillId="0" borderId="11" xfId="0" applyNumberFormat="1" applyFont="1" applyBorder="1" applyAlignment="1">
      <alignment horizontal="right"/>
    </xf>
    <xf numFmtId="10" fontId="16" fillId="0" borderId="50" xfId="0" applyNumberFormat="1" applyFont="1" applyBorder="1" applyAlignment="1">
      <alignment horizontal="right"/>
    </xf>
    <xf numFmtId="0" fontId="16" fillId="0" borderId="5" xfId="0" applyFont="1" applyBorder="1" applyAlignment="1">
      <alignment horizontal="center" vertical="center"/>
    </xf>
    <xf numFmtId="10" fontId="16" fillId="16" borderId="20" xfId="0" applyNumberFormat="1" applyFont="1" applyFill="1" applyBorder="1" applyAlignment="1">
      <alignment horizontal="center" vertical="center"/>
    </xf>
    <xf numFmtId="10" fontId="16" fillId="0" borderId="33" xfId="0" applyNumberFormat="1" applyFont="1" applyBorder="1" applyAlignment="1">
      <alignment horizontal="right"/>
    </xf>
    <xf numFmtId="10" fontId="16" fillId="0" borderId="5" xfId="0" applyNumberFormat="1" applyFont="1" applyBorder="1" applyAlignment="1">
      <alignment horizontal="right"/>
    </xf>
    <xf numFmtId="10" fontId="16" fillId="0" borderId="20" xfId="0" applyNumberFormat="1" applyFont="1" applyBorder="1" applyAlignment="1">
      <alignment horizontal="right"/>
    </xf>
    <xf numFmtId="10" fontId="16" fillId="5" borderId="20" xfId="0" applyNumberFormat="1" applyFont="1" applyFill="1" applyBorder="1" applyAlignment="1">
      <alignment horizontal="center" vertical="center"/>
    </xf>
    <xf numFmtId="10" fontId="16" fillId="10" borderId="5" xfId="0" applyNumberFormat="1" applyFont="1" applyFill="1" applyBorder="1" applyAlignment="1">
      <alignment horizontal="center"/>
    </xf>
    <xf numFmtId="10" fontId="16" fillId="0" borderId="20" xfId="0" applyNumberFormat="1" applyFont="1" applyBorder="1"/>
    <xf numFmtId="0" fontId="16" fillId="0" borderId="33" xfId="0" applyFont="1" applyBorder="1" applyAlignment="1">
      <alignment horizontal="right"/>
    </xf>
    <xf numFmtId="0" fontId="16" fillId="10" borderId="5" xfId="0" applyFont="1" applyFill="1" applyBorder="1" applyAlignment="1">
      <alignment horizontal="center"/>
    </xf>
    <xf numFmtId="0" fontId="16" fillId="0" borderId="20" xfId="0" applyFont="1" applyBorder="1"/>
    <xf numFmtId="0" fontId="16" fillId="0" borderId="34" xfId="0" applyFont="1" applyBorder="1" applyAlignment="1">
      <alignment horizontal="left" vertical="center"/>
    </xf>
    <xf numFmtId="0" fontId="16" fillId="0" borderId="33" xfId="0" applyFont="1" applyBorder="1"/>
    <xf numFmtId="0" fontId="16" fillId="0" borderId="5" xfId="0" applyFont="1" applyBorder="1" applyAlignment="1">
      <alignment horizontal="center"/>
    </xf>
    <xf numFmtId="0" fontId="16" fillId="0" borderId="45" xfId="0" applyFont="1" applyBorder="1" applyAlignment="1">
      <alignment vertical="center"/>
    </xf>
    <xf numFmtId="0" fontId="16" fillId="0" borderId="46" xfId="0" applyFont="1" applyBorder="1" applyAlignment="1">
      <alignment vertical="center"/>
    </xf>
    <xf numFmtId="10" fontId="16" fillId="0" borderId="47" xfId="0" applyNumberFormat="1" applyFont="1" applyBorder="1" applyAlignment="1">
      <alignment vertical="center"/>
    </xf>
    <xf numFmtId="0" fontId="16" fillId="0" borderId="26" xfId="0" applyFont="1" applyBorder="1" applyAlignment="1">
      <alignment horizontal="left" vertical="center"/>
    </xf>
    <xf numFmtId="0" fontId="16" fillId="0" borderId="27" xfId="0" applyFont="1" applyBorder="1" applyAlignment="1">
      <alignment horizontal="left" vertical="center"/>
    </xf>
    <xf numFmtId="0" fontId="16" fillId="0" borderId="48" xfId="0" applyFont="1" applyBorder="1" applyAlignment="1">
      <alignment vertical="center"/>
    </xf>
    <xf numFmtId="0" fontId="12" fillId="13" borderId="1" xfId="0" applyFont="1" applyFill="1" applyBorder="1" applyAlignment="1">
      <alignment vertical="center" wrapText="1"/>
    </xf>
    <xf numFmtId="0" fontId="16" fillId="13" borderId="2" xfId="0" applyFont="1" applyFill="1" applyBorder="1" applyAlignment="1">
      <alignment vertical="center"/>
    </xf>
    <xf numFmtId="10" fontId="12" fillId="13" borderId="3" xfId="0" applyNumberFormat="1" applyFont="1" applyFill="1" applyBorder="1" applyAlignment="1">
      <alignment horizontal="center" vertical="center" wrapText="1"/>
    </xf>
    <xf numFmtId="10" fontId="16" fillId="0" borderId="34" xfId="0" applyNumberFormat="1" applyFont="1" applyBorder="1" applyAlignment="1">
      <alignment horizontal="right"/>
    </xf>
    <xf numFmtId="10" fontId="16" fillId="0" borderId="35" xfId="0" applyNumberFormat="1" applyFont="1" applyBorder="1" applyAlignment="1">
      <alignment horizontal="right"/>
    </xf>
    <xf numFmtId="10" fontId="16" fillId="0" borderId="36" xfId="0" applyNumberFormat="1" applyFont="1" applyBorder="1" applyAlignment="1">
      <alignment horizontal="right"/>
    </xf>
    <xf numFmtId="4" fontId="16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0" fontId="12" fillId="0" borderId="33" xfId="0" applyFont="1" applyBorder="1" applyAlignment="1">
      <alignment horizontal="center" vertical="center"/>
    </xf>
    <xf numFmtId="0" fontId="12" fillId="17" borderId="5" xfId="0" applyFont="1" applyFill="1" applyBorder="1" applyAlignment="1">
      <alignment horizontal="center" vertical="center"/>
    </xf>
    <xf numFmtId="0" fontId="11" fillId="0" borderId="0" xfId="0" applyFont="1"/>
    <xf numFmtId="0" fontId="16" fillId="0" borderId="33" xfId="0" applyFont="1" applyBorder="1" applyAlignment="1">
      <alignment horizontal="center" vertical="center"/>
    </xf>
    <xf numFmtId="2" fontId="16" fillId="17" borderId="5" xfId="0" applyNumberFormat="1" applyFont="1" applyFill="1" applyBorder="1" applyAlignment="1">
      <alignment horizontal="right" vertical="center"/>
    </xf>
    <xf numFmtId="0" fontId="16" fillId="0" borderId="34" xfId="0" applyFont="1" applyBorder="1" applyAlignment="1">
      <alignment horizontal="center" vertical="center"/>
    </xf>
    <xf numFmtId="2" fontId="16" fillId="17" borderId="3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wrapText="1"/>
    </xf>
    <xf numFmtId="0" fontId="19" fillId="0" borderId="0" xfId="0" applyFont="1"/>
    <xf numFmtId="0" fontId="20" fillId="0" borderId="5" xfId="0" applyFont="1" applyBorder="1" applyAlignment="1">
      <alignment horizontal="left" wrapText="1"/>
    </xf>
    <xf numFmtId="0" fontId="20" fillId="0" borderId="5" xfId="0" applyFont="1" applyBorder="1" applyAlignment="1">
      <alignment horizontal="center" wrapText="1"/>
    </xf>
    <xf numFmtId="0" fontId="5" fillId="10" borderId="5" xfId="0" applyFont="1" applyFill="1" applyBorder="1" applyAlignment="1">
      <alignment horizontal="left" wrapText="1"/>
    </xf>
    <xf numFmtId="0" fontId="5" fillId="10" borderId="5" xfId="0" applyFont="1" applyFill="1" applyBorder="1" applyAlignment="1">
      <alignment wrapText="1"/>
    </xf>
    <xf numFmtId="44" fontId="5" fillId="10" borderId="5" xfId="1" applyFont="1" applyFill="1" applyBorder="1" applyAlignment="1">
      <alignment horizontal="center" wrapText="1"/>
    </xf>
    <xf numFmtId="14" fontId="5" fillId="10" borderId="5" xfId="0" applyNumberFormat="1" applyFont="1" applyFill="1" applyBorder="1" applyAlignment="1">
      <alignment horizontal="center" wrapText="1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center" wrapText="1"/>
    </xf>
    <xf numFmtId="14" fontId="5" fillId="0" borderId="5" xfId="0" applyNumberFormat="1" applyFont="1" applyBorder="1" applyAlignment="1">
      <alignment horizontal="center" wrapText="1"/>
    </xf>
    <xf numFmtId="0" fontId="20" fillId="0" borderId="5" xfId="0" applyFont="1" applyBorder="1" applyAlignment="1">
      <alignment wrapText="1"/>
    </xf>
    <xf numFmtId="43" fontId="5" fillId="0" borderId="5" xfId="3" applyFont="1" applyBorder="1" applyAlignment="1">
      <alignment horizontal="center" wrapText="1"/>
    </xf>
    <xf numFmtId="0" fontId="20" fillId="0" borderId="5" xfId="0" applyFont="1" applyBorder="1" applyAlignment="1">
      <alignment horizontal="right" wrapText="1"/>
    </xf>
    <xf numFmtId="0" fontId="29" fillId="0" borderId="5" xfId="0" applyFont="1" applyBorder="1" applyAlignment="1">
      <alignment horizontal="right"/>
    </xf>
    <xf numFmtId="8" fontId="5" fillId="0" borderId="5" xfId="0" applyNumberFormat="1" applyFont="1" applyBorder="1" applyAlignment="1">
      <alignment horizontal="right" vertical="center" wrapText="1"/>
    </xf>
    <xf numFmtId="8" fontId="5" fillId="0" borderId="5" xfId="1" applyNumberFormat="1" applyFont="1" applyFill="1" applyBorder="1" applyAlignment="1">
      <alignment horizontal="right" vertical="center" wrapText="1"/>
    </xf>
    <xf numFmtId="8" fontId="0" fillId="0" borderId="5" xfId="0" applyNumberFormat="1" applyBorder="1" applyAlignment="1">
      <alignment horizontal="right" vertical="center"/>
    </xf>
    <xf numFmtId="171" fontId="5" fillId="0" borderId="5" xfId="3" applyNumberFormat="1" applyFont="1" applyBorder="1" applyAlignment="1">
      <alignment horizontal="right" vertical="center" wrapText="1"/>
    </xf>
    <xf numFmtId="43" fontId="5" fillId="0" borderId="0" xfId="3" applyFont="1" applyBorder="1" applyAlignment="1">
      <alignment horizontal="center" wrapText="1"/>
    </xf>
    <xf numFmtId="0" fontId="24" fillId="0" borderId="0" xfId="0" applyFont="1"/>
    <xf numFmtId="8" fontId="11" fillId="0" borderId="5" xfId="3" applyNumberFormat="1" applyFont="1" applyBorder="1" applyAlignment="1">
      <alignment horizontal="right" vertical="center" wrapText="1"/>
    </xf>
    <xf numFmtId="171" fontId="0" fillId="0" borderId="5" xfId="0" applyNumberFormat="1" applyBorder="1"/>
    <xf numFmtId="171" fontId="29" fillId="0" borderId="5" xfId="0" applyNumberFormat="1" applyFont="1" applyBorder="1"/>
    <xf numFmtId="4" fontId="3" fillId="0" borderId="0" xfId="2" applyNumberFormat="1" applyFill="1"/>
    <xf numFmtId="0" fontId="3" fillId="0" borderId="0" xfId="2" applyFill="1"/>
    <xf numFmtId="0" fontId="31" fillId="0" borderId="0" xfId="5" applyAlignment="1"/>
    <xf numFmtId="165" fontId="0" fillId="0" borderId="0" xfId="0" applyNumberFormat="1"/>
    <xf numFmtId="0" fontId="32" fillId="0" borderId="0" xfId="0" applyFont="1" applyAlignment="1">
      <alignment horizontal="right" wrapText="1"/>
    </xf>
    <xf numFmtId="4" fontId="16" fillId="0" borderId="0" xfId="0" applyNumberFormat="1" applyFont="1" applyAlignment="1">
      <alignment vertical="top" wrapText="1"/>
    </xf>
    <xf numFmtId="4" fontId="13" fillId="12" borderId="31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right"/>
    </xf>
    <xf numFmtId="0" fontId="31" fillId="0" borderId="0" xfId="5"/>
    <xf numFmtId="0" fontId="5" fillId="0" borderId="5" xfId="0" applyFont="1" applyBorder="1" applyAlignment="1">
      <alignment horizontal="right" wrapText="1"/>
    </xf>
    <xf numFmtId="0" fontId="29" fillId="0" borderId="5" xfId="0" applyFont="1" applyBorder="1"/>
    <xf numFmtId="0" fontId="0" fillId="0" borderId="5" xfId="0" applyBorder="1" applyAlignment="1">
      <alignment horizontal="left" wrapText="1"/>
    </xf>
    <xf numFmtId="0" fontId="24" fillId="0" borderId="5" xfId="0" applyFont="1" applyBorder="1" applyAlignment="1">
      <alignment horizontal="left" wrapText="1"/>
    </xf>
    <xf numFmtId="171" fontId="5" fillId="0" borderId="5" xfId="0" applyNumberFormat="1" applyFont="1" applyBorder="1" applyAlignment="1">
      <alignment horizontal="right" vertical="center" wrapText="1"/>
    </xf>
    <xf numFmtId="171" fontId="24" fillId="0" borderId="5" xfId="0" applyNumberFormat="1" applyFont="1" applyBorder="1"/>
    <xf numFmtId="171" fontId="5" fillId="0" borderId="5" xfId="0" applyNumberFormat="1" applyFont="1" applyBorder="1"/>
    <xf numFmtId="0" fontId="20" fillId="20" borderId="0" xfId="0" applyFont="1" applyFill="1"/>
    <xf numFmtId="0" fontId="20" fillId="20" borderId="0" xfId="0" applyFont="1" applyFill="1" applyAlignment="1">
      <alignment wrapText="1"/>
    </xf>
    <xf numFmtId="14" fontId="29" fillId="0" borderId="0" xfId="0" applyNumberFormat="1" applyFont="1" applyAlignment="1">
      <alignment horizontal="left"/>
    </xf>
    <xf numFmtId="0" fontId="5" fillId="0" borderId="0" xfId="0" applyFont="1" applyAlignment="1">
      <alignment horizontal="right" wrapText="1"/>
    </xf>
    <xf numFmtId="4" fontId="17" fillId="0" borderId="0" xfId="0" applyNumberFormat="1" applyFont="1" applyAlignment="1">
      <alignment horizontal="left" vertical="top"/>
    </xf>
    <xf numFmtId="0" fontId="42" fillId="22" borderId="56" xfId="0" applyFont="1" applyFill="1" applyBorder="1" applyAlignment="1">
      <alignment vertical="center" wrapText="1"/>
    </xf>
    <xf numFmtId="0" fontId="21" fillId="22" borderId="56" xfId="0" applyFont="1" applyFill="1" applyBorder="1" applyAlignment="1">
      <alignment horizontal="left" vertical="center" wrapText="1" indent="4"/>
    </xf>
    <xf numFmtId="0" fontId="21" fillId="22" borderId="55" xfId="0" applyFont="1" applyFill="1" applyBorder="1" applyAlignment="1">
      <alignment horizontal="left" vertical="center" wrapText="1" indent="4"/>
    </xf>
    <xf numFmtId="0" fontId="41" fillId="22" borderId="56" xfId="0" applyFont="1" applyFill="1" applyBorder="1" applyAlignment="1">
      <alignment horizontal="left" vertical="center" wrapText="1" indent="4"/>
    </xf>
    <xf numFmtId="0" fontId="41" fillId="22" borderId="55" xfId="0" applyFont="1" applyFill="1" applyBorder="1" applyAlignment="1">
      <alignment horizontal="left" vertical="center" wrapText="1" indent="4"/>
    </xf>
    <xf numFmtId="0" fontId="40" fillId="19" borderId="56" xfId="0" applyFont="1" applyFill="1" applyBorder="1" applyAlignment="1">
      <alignment vertical="center" wrapText="1"/>
    </xf>
    <xf numFmtId="0" fontId="40" fillId="19" borderId="54" xfId="0" applyFont="1" applyFill="1" applyBorder="1" applyAlignment="1">
      <alignment vertical="center" wrapText="1"/>
    </xf>
    <xf numFmtId="164" fontId="9" fillId="8" borderId="33" xfId="0" applyNumberFormat="1" applyFont="1" applyFill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4" fontId="4" fillId="0" borderId="33" xfId="0" applyNumberFormat="1" applyFont="1" applyBorder="1" applyAlignment="1">
      <alignment horizontal="center"/>
    </xf>
    <xf numFmtId="4" fontId="6" fillId="0" borderId="33" xfId="0" applyNumberFormat="1" applyFont="1" applyBorder="1"/>
    <xf numFmtId="4" fontId="4" fillId="0" borderId="20" xfId="0" applyNumberFormat="1" applyFont="1" applyBorder="1" applyAlignment="1">
      <alignment horizontal="center"/>
    </xf>
    <xf numFmtId="4" fontId="4" fillId="0" borderId="34" xfId="0" applyNumberFormat="1" applyFont="1" applyBorder="1" applyAlignment="1">
      <alignment horizontal="left"/>
    </xf>
    <xf numFmtId="3" fontId="6" fillId="0" borderId="35" xfId="0" applyNumberFormat="1" applyFont="1" applyBorder="1"/>
    <xf numFmtId="164" fontId="4" fillId="0" borderId="35" xfId="0" applyNumberFormat="1" applyFont="1" applyBorder="1" applyAlignment="1">
      <alignment vertical="center" wrapText="1"/>
    </xf>
    <xf numFmtId="3" fontId="6" fillId="0" borderId="35" xfId="0" applyNumberFormat="1" applyFont="1" applyBorder="1" applyAlignment="1">
      <alignment horizontal="center"/>
    </xf>
    <xf numFmtId="164" fontId="4" fillId="0" borderId="36" xfId="0" applyNumberFormat="1" applyFont="1" applyBorder="1" applyAlignment="1">
      <alignment horizontal="center"/>
    </xf>
    <xf numFmtId="4" fontId="4" fillId="0" borderId="49" xfId="0" applyNumberFormat="1" applyFont="1" applyBorder="1" applyAlignment="1">
      <alignment horizontal="center"/>
    </xf>
    <xf numFmtId="4" fontId="4" fillId="0" borderId="50" xfId="0" applyNumberFormat="1" applyFont="1" applyBorder="1" applyAlignment="1">
      <alignment horizontal="center"/>
    </xf>
    <xf numFmtId="164" fontId="13" fillId="12" borderId="15" xfId="0" applyNumberFormat="1" applyFont="1" applyFill="1" applyBorder="1" applyAlignment="1">
      <alignment horizontal="center" vertical="center"/>
    </xf>
    <xf numFmtId="4" fontId="5" fillId="0" borderId="49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164" fontId="6" fillId="0" borderId="20" xfId="0" applyNumberFormat="1" applyFont="1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4" fillId="0" borderId="35" xfId="0" applyNumberFormat="1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center" vertical="center"/>
    </xf>
    <xf numFmtId="164" fontId="4" fillId="0" borderId="36" xfId="0" applyNumberFormat="1" applyFont="1" applyBorder="1" applyAlignment="1">
      <alignment horizontal="center" vertical="center"/>
    </xf>
    <xf numFmtId="4" fontId="4" fillId="11" borderId="1" xfId="0" applyNumberFormat="1" applyFont="1" applyFill="1" applyBorder="1" applyAlignment="1">
      <alignment horizontal="left"/>
    </xf>
    <xf numFmtId="4" fontId="4" fillId="11" borderId="2" xfId="0" applyNumberFormat="1" applyFont="1" applyFill="1" applyBorder="1" applyAlignment="1">
      <alignment horizontal="left"/>
    </xf>
    <xf numFmtId="4" fontId="4" fillId="11" borderId="3" xfId="0" applyNumberFormat="1" applyFont="1" applyFill="1" applyBorder="1" applyAlignment="1">
      <alignment horizontal="left"/>
    </xf>
    <xf numFmtId="4" fontId="4" fillId="0" borderId="16" xfId="0" applyNumberFormat="1" applyFont="1" applyBorder="1" applyAlignment="1">
      <alignment horizontal="center"/>
    </xf>
    <xf numFmtId="0" fontId="5" fillId="0" borderId="17" xfId="0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164" fontId="5" fillId="0" borderId="18" xfId="0" applyNumberFormat="1" applyFont="1" applyBorder="1" applyAlignment="1">
      <alignment vertical="center"/>
    </xf>
    <xf numFmtId="164" fontId="13" fillId="12" borderId="29" xfId="0" applyNumberFormat="1" applyFont="1" applyFill="1" applyBorder="1" applyAlignment="1">
      <alignment horizontal="center" vertical="center"/>
    </xf>
    <xf numFmtId="0" fontId="5" fillId="0" borderId="49" xfId="0" applyFont="1" applyBorder="1" applyAlignment="1">
      <alignment vertical="center"/>
    </xf>
    <xf numFmtId="164" fontId="5" fillId="0" borderId="50" xfId="0" applyNumberFormat="1" applyFont="1" applyBorder="1" applyAlignment="1">
      <alignment horizontal="center" vertical="center"/>
    </xf>
    <xf numFmtId="0" fontId="5" fillId="0" borderId="33" xfId="0" applyFont="1" applyBorder="1" applyAlignment="1">
      <alignment vertical="center"/>
    </xf>
    <xf numFmtId="164" fontId="5" fillId="0" borderId="20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vertical="center"/>
    </xf>
    <xf numFmtId="0" fontId="5" fillId="0" borderId="35" xfId="0" applyFont="1" applyBorder="1" applyAlignment="1">
      <alignment horizontal="center" vertical="center"/>
    </xf>
    <xf numFmtId="167" fontId="5" fillId="0" borderId="35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164" fontId="11" fillId="0" borderId="36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left"/>
    </xf>
    <xf numFmtId="164" fontId="4" fillId="8" borderId="32" xfId="0" applyNumberFormat="1" applyFont="1" applyFill="1" applyBorder="1" applyAlignment="1">
      <alignment horizontal="center"/>
    </xf>
    <xf numFmtId="4" fontId="4" fillId="0" borderId="19" xfId="0" applyNumberFormat="1" applyFont="1" applyBorder="1" applyAlignment="1">
      <alignment horizontal="left"/>
    </xf>
    <xf numFmtId="4" fontId="4" fillId="0" borderId="20" xfId="0" applyNumberFormat="1" applyFont="1" applyBorder="1"/>
    <xf numFmtId="164" fontId="4" fillId="8" borderId="20" xfId="0" applyNumberFormat="1" applyFont="1" applyFill="1" applyBorder="1" applyAlignment="1">
      <alignment horizontal="center"/>
    </xf>
    <xf numFmtId="4" fontId="4" fillId="0" borderId="33" xfId="0" applyNumberFormat="1" applyFont="1" applyBorder="1"/>
    <xf numFmtId="4" fontId="8" fillId="10" borderId="20" xfId="0" applyNumberFormat="1" applyFont="1" applyFill="1" applyBorder="1"/>
    <xf numFmtId="164" fontId="8" fillId="10" borderId="20" xfId="0" applyNumberFormat="1" applyFont="1" applyFill="1" applyBorder="1" applyAlignment="1">
      <alignment horizontal="center"/>
    </xf>
    <xf numFmtId="164" fontId="4" fillId="10" borderId="20" xfId="0" applyNumberFormat="1" applyFont="1" applyFill="1" applyBorder="1" applyAlignment="1">
      <alignment horizontal="center"/>
    </xf>
    <xf numFmtId="167" fontId="4" fillId="8" borderId="20" xfId="0" applyNumberFormat="1" applyFont="1" applyFill="1" applyBorder="1" applyAlignment="1">
      <alignment horizontal="center"/>
    </xf>
    <xf numFmtId="164" fontId="4" fillId="8" borderId="36" xfId="0" applyNumberFormat="1" applyFont="1" applyFill="1" applyBorder="1" applyAlignment="1">
      <alignment horizontal="center"/>
    </xf>
    <xf numFmtId="4" fontId="4" fillId="19" borderId="1" xfId="0" applyNumberFormat="1" applyFont="1" applyFill="1" applyBorder="1" applyAlignment="1">
      <alignment horizontal="left"/>
    </xf>
    <xf numFmtId="4" fontId="4" fillId="19" borderId="2" xfId="0" applyNumberFormat="1" applyFont="1" applyFill="1" applyBorder="1" applyAlignment="1">
      <alignment horizontal="center"/>
    </xf>
    <xf numFmtId="4" fontId="4" fillId="19" borderId="3" xfId="0" applyNumberFormat="1" applyFont="1" applyFill="1" applyBorder="1" applyAlignment="1">
      <alignment horizontal="center"/>
    </xf>
    <xf numFmtId="4" fontId="4" fillId="11" borderId="30" xfId="0" applyNumberFormat="1" applyFont="1" applyFill="1" applyBorder="1"/>
    <xf numFmtId="4" fontId="4" fillId="11" borderId="32" xfId="0" applyNumberFormat="1" applyFont="1" applyFill="1" applyBorder="1" applyAlignment="1">
      <alignment horizontal="center"/>
    </xf>
    <xf numFmtId="164" fontId="6" fillId="0" borderId="20" xfId="0" applyNumberFormat="1" applyFont="1" applyBorder="1"/>
    <xf numFmtId="4" fontId="4" fillId="0" borderId="34" xfId="0" applyNumberFormat="1" applyFont="1" applyBorder="1" applyAlignment="1">
      <alignment horizontal="center"/>
    </xf>
    <xf numFmtId="4" fontId="4" fillId="0" borderId="36" xfId="0" applyNumberFormat="1" applyFont="1" applyBorder="1"/>
    <xf numFmtId="4" fontId="6" fillId="0" borderId="30" xfId="0" applyNumberFormat="1" applyFont="1" applyBorder="1"/>
    <xf numFmtId="4" fontId="6" fillId="0" borderId="32" xfId="0" applyNumberFormat="1" applyFont="1" applyBorder="1"/>
    <xf numFmtId="4" fontId="6" fillId="0" borderId="20" xfId="0" applyNumberFormat="1" applyFont="1" applyBorder="1"/>
    <xf numFmtId="4" fontId="6" fillId="8" borderId="20" xfId="0" applyNumberFormat="1" applyFont="1" applyFill="1" applyBorder="1"/>
    <xf numFmtId="4" fontId="4" fillId="0" borderId="34" xfId="0" applyNumberFormat="1" applyFont="1" applyBorder="1"/>
    <xf numFmtId="2" fontId="4" fillId="0" borderId="36" xfId="0" applyNumberFormat="1" applyFont="1" applyBorder="1"/>
    <xf numFmtId="164" fontId="4" fillId="0" borderId="35" xfId="0" applyNumberFormat="1" applyFont="1" applyBorder="1" applyAlignment="1">
      <alignment horizontal="center" vertical="center"/>
    </xf>
    <xf numFmtId="4" fontId="4" fillId="0" borderId="59" xfId="0" applyNumberFormat="1" applyFont="1" applyBorder="1" applyAlignment="1">
      <alignment vertical="center" wrapText="1"/>
    </xf>
    <xf numFmtId="4" fontId="13" fillId="12" borderId="30" xfId="0" applyNumberFormat="1" applyFont="1" applyFill="1" applyBorder="1" applyAlignment="1">
      <alignment horizontal="center" vertical="center"/>
    </xf>
    <xf numFmtId="164" fontId="13" fillId="12" borderId="31" xfId="0" applyNumberFormat="1" applyFont="1" applyFill="1" applyBorder="1" applyAlignment="1">
      <alignment horizontal="center" vertical="center"/>
    </xf>
    <xf numFmtId="164" fontId="13" fillId="12" borderId="32" xfId="0" applyNumberFormat="1" applyFont="1" applyFill="1" applyBorder="1" applyAlignment="1">
      <alignment horizontal="center" vertical="center"/>
    </xf>
    <xf numFmtId="4" fontId="6" fillId="0" borderId="49" xfId="0" applyNumberFormat="1" applyFont="1" applyBorder="1"/>
    <xf numFmtId="4" fontId="6" fillId="0" borderId="50" xfId="0" applyNumberFormat="1" applyFont="1" applyBorder="1"/>
    <xf numFmtId="43" fontId="4" fillId="9" borderId="5" xfId="6" applyNumberFormat="1" applyFont="1" applyFill="1" applyBorder="1" applyAlignment="1">
      <alignment horizontal="center"/>
    </xf>
    <xf numFmtId="0" fontId="0" fillId="0" borderId="0" xfId="0" applyAlignment="1">
      <alignment vertical="top"/>
    </xf>
    <xf numFmtId="4" fontId="15" fillId="0" borderId="5" xfId="0" applyNumberFormat="1" applyFont="1" applyBorder="1" applyAlignment="1">
      <alignment horizontal="left" vertical="top" wrapText="1"/>
    </xf>
    <xf numFmtId="0" fontId="4" fillId="4" borderId="5" xfId="6" applyFont="1" applyFill="1" applyBorder="1" applyAlignment="1">
      <alignment horizontal="center" vertical="center"/>
    </xf>
    <xf numFmtId="4" fontId="6" fillId="0" borderId="0" xfId="6" applyNumberFormat="1" applyFont="1"/>
    <xf numFmtId="0" fontId="4" fillId="0" borderId="0" xfId="6" applyFont="1" applyAlignment="1">
      <alignment horizontal="center" vertical="center"/>
    </xf>
    <xf numFmtId="0" fontId="4" fillId="0" borderId="5" xfId="6" applyFont="1" applyBorder="1" applyAlignment="1">
      <alignment horizontal="center"/>
    </xf>
    <xf numFmtId="43" fontId="4" fillId="0" borderId="5" xfId="6" applyNumberFormat="1" applyFont="1" applyBorder="1" applyAlignment="1">
      <alignment horizontal="center"/>
    </xf>
    <xf numFmtId="10" fontId="4" fillId="0" borderId="5" xfId="6" applyNumberFormat="1" applyFont="1" applyBorder="1" applyAlignment="1">
      <alignment horizontal="center"/>
    </xf>
    <xf numFmtId="4" fontId="4" fillId="0" borderId="7" xfId="6" applyNumberFormat="1" applyFont="1" applyBorder="1" applyAlignment="1">
      <alignment horizontal="right"/>
    </xf>
    <xf numFmtId="43" fontId="4" fillId="0" borderId="8" xfId="6" applyNumberFormat="1" applyFont="1" applyBorder="1"/>
    <xf numFmtId="49" fontId="4" fillId="0" borderId="0" xfId="6" applyNumberFormat="1" applyFont="1" applyAlignment="1">
      <alignment horizontal="center" vertical="center"/>
    </xf>
    <xf numFmtId="49" fontId="4" fillId="0" borderId="5" xfId="6" applyNumberFormat="1" applyFont="1" applyBorder="1" applyAlignment="1">
      <alignment horizontal="center"/>
    </xf>
    <xf numFmtId="49" fontId="4" fillId="0" borderId="6" xfId="6" applyNumberFormat="1" applyFont="1" applyBorder="1" applyAlignment="1">
      <alignment horizontal="center"/>
    </xf>
    <xf numFmtId="49" fontId="4" fillId="0" borderId="0" xfId="6" applyNumberFormat="1" applyFont="1"/>
    <xf numFmtId="4" fontId="14" fillId="19" borderId="5" xfId="6" applyNumberFormat="1" applyFont="1" applyFill="1" applyBorder="1" applyAlignment="1">
      <alignment horizontal="center"/>
    </xf>
    <xf numFmtId="49" fontId="4" fillId="19" borderId="5" xfId="6" applyNumberFormat="1" applyFont="1" applyFill="1" applyBorder="1" applyAlignment="1">
      <alignment horizontal="left"/>
    </xf>
    <xf numFmtId="49" fontId="36" fillId="0" borderId="5" xfId="5" applyNumberFormat="1" applyFont="1" applyBorder="1" applyAlignment="1">
      <alignment horizontal="center"/>
    </xf>
    <xf numFmtId="43" fontId="4" fillId="21" borderId="5" xfId="6" applyNumberFormat="1" applyFont="1" applyFill="1" applyBorder="1" applyAlignment="1">
      <alignment horizontal="center"/>
    </xf>
    <xf numFmtId="10" fontId="4" fillId="0" borderId="5" xfId="6" applyNumberFormat="1" applyFont="1" applyBorder="1" applyAlignment="1">
      <alignment horizontal="right"/>
    </xf>
    <xf numFmtId="0" fontId="40" fillId="22" borderId="60" xfId="0" applyFont="1" applyFill="1" applyBorder="1" applyAlignment="1">
      <alignment horizontal="justify" vertical="center" wrapText="1"/>
    </xf>
    <xf numFmtId="0" fontId="41" fillId="22" borderId="60" xfId="0" applyFont="1" applyFill="1" applyBorder="1" applyAlignment="1">
      <alignment horizontal="justify" vertical="center" wrapText="1"/>
    </xf>
    <xf numFmtId="0" fontId="40" fillId="22" borderId="38" xfId="0" applyFont="1" applyFill="1" applyBorder="1" applyAlignment="1">
      <alignment horizontal="justify" vertical="center" wrapText="1"/>
    </xf>
    <xf numFmtId="0" fontId="41" fillId="22" borderId="37" xfId="0" applyFont="1" applyFill="1" applyBorder="1" applyAlignment="1">
      <alignment horizontal="justify" vertical="center" wrapText="1"/>
    </xf>
    <xf numFmtId="0" fontId="41" fillId="22" borderId="11" xfId="0" applyFont="1" applyFill="1" applyBorder="1" applyAlignment="1">
      <alignment horizontal="justify" vertical="center" wrapText="1"/>
    </xf>
    <xf numFmtId="0" fontId="39" fillId="22" borderId="40" xfId="0" applyFont="1" applyFill="1" applyBorder="1" applyAlignment="1">
      <alignment horizontal="center" vertical="center" wrapText="1"/>
    </xf>
    <xf numFmtId="0" fontId="39" fillId="22" borderId="44" xfId="0" applyFont="1" applyFill="1" applyBorder="1" applyAlignment="1">
      <alignment horizontal="center" vertical="center" wrapText="1"/>
    </xf>
    <xf numFmtId="0" fontId="39" fillId="22" borderId="38" xfId="0" applyFont="1" applyFill="1" applyBorder="1" applyAlignment="1">
      <alignment horizontal="center" vertical="center" wrapText="1"/>
    </xf>
    <xf numFmtId="0" fontId="39" fillId="22" borderId="11" xfId="0" applyFont="1" applyFill="1" applyBorder="1" applyAlignment="1">
      <alignment horizontal="center" vertical="center" wrapText="1"/>
    </xf>
    <xf numFmtId="165" fontId="15" fillId="0" borderId="0" xfId="0" applyNumberFormat="1" applyFont="1"/>
    <xf numFmtId="164" fontId="9" fillId="0" borderId="0" xfId="0" applyNumberFormat="1" applyFont="1" applyAlignment="1">
      <alignment horizontal="center"/>
    </xf>
    <xf numFmtId="10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3" fontId="6" fillId="0" borderId="0" xfId="0" applyNumberFormat="1" applyFont="1"/>
    <xf numFmtId="164" fontId="6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vertical="center" wrapText="1"/>
    </xf>
    <xf numFmtId="165" fontId="15" fillId="0" borderId="0" xfId="0" applyNumberFormat="1" applyFont="1" applyAlignment="1">
      <alignment horizontal="left"/>
    </xf>
    <xf numFmtId="0" fontId="30" fillId="0" borderId="5" xfId="6" applyFont="1" applyBorder="1" applyAlignment="1">
      <alignment horizontal="center"/>
    </xf>
    <xf numFmtId="4" fontId="4" fillId="3" borderId="5" xfId="6" applyNumberFormat="1" applyFont="1" applyFill="1" applyBorder="1" applyAlignment="1">
      <alignment horizontal="center"/>
    </xf>
    <xf numFmtId="0" fontId="5" fillId="0" borderId="5" xfId="6" applyFont="1" applyBorder="1"/>
    <xf numFmtId="4" fontId="4" fillId="4" borderId="5" xfId="6" applyNumberFormat="1" applyFont="1" applyFill="1" applyBorder="1" applyAlignment="1">
      <alignment horizontal="center"/>
    </xf>
    <xf numFmtId="0" fontId="4" fillId="4" borderId="5" xfId="6" applyFont="1" applyFill="1" applyBorder="1" applyAlignment="1">
      <alignment horizontal="center" vertical="center"/>
    </xf>
    <xf numFmtId="4" fontId="4" fillId="0" borderId="4" xfId="6" applyNumberFormat="1" applyFont="1" applyBorder="1" applyAlignment="1">
      <alignment horizontal="center"/>
    </xf>
    <xf numFmtId="0" fontId="5" fillId="0" borderId="4" xfId="6" applyFont="1" applyBorder="1"/>
    <xf numFmtId="4" fontId="4" fillId="6" borderId="1" xfId="0" applyNumberFormat="1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4" fontId="10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2" fillId="7" borderId="1" xfId="0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horizontal="left"/>
    </xf>
    <xf numFmtId="0" fontId="5" fillId="0" borderId="7" xfId="0" applyFont="1" applyBorder="1"/>
    <xf numFmtId="0" fontId="5" fillId="0" borderId="8" xfId="0" applyFont="1" applyBorder="1"/>
    <xf numFmtId="4" fontId="15" fillId="0" borderId="5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left"/>
    </xf>
    <xf numFmtId="4" fontId="4" fillId="0" borderId="8" xfId="0" applyNumberFormat="1" applyFont="1" applyBorder="1" applyAlignment="1">
      <alignment horizontal="left"/>
    </xf>
    <xf numFmtId="4" fontId="4" fillId="0" borderId="41" xfId="0" applyNumberFormat="1" applyFont="1" applyBorder="1" applyAlignment="1">
      <alignment horizontal="left"/>
    </xf>
    <xf numFmtId="0" fontId="5" fillId="0" borderId="39" xfId="0" applyFont="1" applyBorder="1"/>
    <xf numFmtId="0" fontId="5" fillId="0" borderId="42" xfId="0" applyFont="1" applyBorder="1"/>
    <xf numFmtId="4" fontId="4" fillId="11" borderId="6" xfId="0" applyNumberFormat="1" applyFont="1" applyFill="1" applyBorder="1" applyAlignment="1">
      <alignment horizontal="left"/>
    </xf>
    <xf numFmtId="4" fontId="4" fillId="11" borderId="7" xfId="0" applyNumberFormat="1" applyFont="1" applyFill="1" applyBorder="1" applyAlignment="1">
      <alignment horizontal="left"/>
    </xf>
    <xf numFmtId="4" fontId="4" fillId="11" borderId="8" xfId="0" applyNumberFormat="1" applyFont="1" applyFill="1" applyBorder="1" applyAlignment="1">
      <alignment horizontal="left"/>
    </xf>
    <xf numFmtId="4" fontId="45" fillId="0" borderId="5" xfId="5" applyNumberFormat="1" applyFont="1" applyBorder="1" applyAlignment="1">
      <alignment horizontal="left" vertical="top" wrapText="1"/>
    </xf>
    <xf numFmtId="4" fontId="4" fillId="11" borderId="43" xfId="0" applyNumberFormat="1" applyFont="1" applyFill="1" applyBorder="1" applyAlignment="1">
      <alignment horizontal="left"/>
    </xf>
    <xf numFmtId="4" fontId="4" fillId="11" borderId="39" xfId="0" applyNumberFormat="1" applyFont="1" applyFill="1" applyBorder="1" applyAlignment="1">
      <alignment horizontal="left"/>
    </xf>
    <xf numFmtId="4" fontId="4" fillId="11" borderId="42" xfId="0" applyNumberFormat="1" applyFont="1" applyFill="1" applyBorder="1" applyAlignment="1">
      <alignment horizontal="left"/>
    </xf>
    <xf numFmtId="164" fontId="14" fillId="7" borderId="16" xfId="0" applyNumberFormat="1" applyFont="1" applyFill="1" applyBorder="1" applyAlignment="1">
      <alignment horizontal="center" vertical="center"/>
    </xf>
    <xf numFmtId="164" fontId="14" fillId="7" borderId="17" xfId="0" applyNumberFormat="1" applyFont="1" applyFill="1" applyBorder="1" applyAlignment="1">
      <alignment horizontal="center" vertical="center"/>
    </xf>
    <xf numFmtId="164" fontId="14" fillId="7" borderId="18" xfId="0" applyNumberFormat="1" applyFont="1" applyFill="1" applyBorder="1" applyAlignment="1">
      <alignment horizontal="center" vertical="center"/>
    </xf>
    <xf numFmtId="164" fontId="8" fillId="0" borderId="58" xfId="0" applyNumberFormat="1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164" fontId="8" fillId="0" borderId="51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4" fontId="4" fillId="23" borderId="6" xfId="6" applyNumberFormat="1" applyFont="1" applyFill="1" applyBorder="1" applyAlignment="1">
      <alignment horizontal="left"/>
    </xf>
    <xf numFmtId="0" fontId="5" fillId="23" borderId="7" xfId="6" applyFont="1" applyFill="1" applyBorder="1"/>
    <xf numFmtId="0" fontId="5" fillId="23" borderId="8" xfId="6" applyFont="1" applyFill="1" applyBorder="1"/>
    <xf numFmtId="4" fontId="4" fillId="8" borderId="6" xfId="0" applyNumberFormat="1" applyFont="1" applyFill="1" applyBorder="1" applyAlignment="1">
      <alignment horizontal="center"/>
    </xf>
    <xf numFmtId="0" fontId="5" fillId="0" borderId="57" xfId="0" applyFont="1" applyBorder="1"/>
    <xf numFmtId="4" fontId="46" fillId="24" borderId="4" xfId="0" applyNumberFormat="1" applyFont="1" applyFill="1" applyBorder="1" applyAlignment="1">
      <alignment horizontal="center"/>
    </xf>
    <xf numFmtId="0" fontId="41" fillId="22" borderId="11" xfId="0" applyFont="1" applyFill="1" applyBorder="1" applyAlignment="1">
      <alignment horizontal="center" vertical="center" wrapText="1"/>
    </xf>
    <xf numFmtId="0" fontId="41" fillId="22" borderId="5" xfId="0" applyFont="1" applyFill="1" applyBorder="1" applyAlignment="1">
      <alignment horizontal="center" vertical="center" wrapText="1"/>
    </xf>
    <xf numFmtId="0" fontId="39" fillId="22" borderId="6" xfId="0" applyFont="1" applyFill="1" applyBorder="1" applyAlignment="1">
      <alignment horizontal="center" vertical="center" wrapText="1"/>
    </xf>
    <xf numFmtId="0" fontId="39" fillId="22" borderId="5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8" xfId="0" applyFont="1" applyBorder="1"/>
    <xf numFmtId="4" fontId="11" fillId="0" borderId="27" xfId="0" applyNumberFormat="1" applyFont="1" applyBorder="1" applyAlignment="1">
      <alignment horizontal="center" vertical="center"/>
    </xf>
    <xf numFmtId="0" fontId="4" fillId="15" borderId="45" xfId="0" applyFont="1" applyFill="1" applyBorder="1" applyAlignment="1">
      <alignment horizontal="center" vertical="center"/>
    </xf>
    <xf numFmtId="0" fontId="5" fillId="0" borderId="46" xfId="0" applyFont="1" applyBorder="1"/>
    <xf numFmtId="0" fontId="5" fillId="0" borderId="47" xfId="0" applyFont="1" applyBorder="1"/>
    <xf numFmtId="9" fontId="12" fillId="0" borderId="16" xfId="0" applyNumberFormat="1" applyFont="1" applyBorder="1" applyAlignment="1">
      <alignment horizontal="center"/>
    </xf>
    <xf numFmtId="0" fontId="16" fillId="0" borderId="38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4" fontId="12" fillId="0" borderId="27" xfId="0" applyNumberFormat="1" applyFont="1" applyBorder="1" applyAlignment="1">
      <alignment horizontal="center"/>
    </xf>
    <xf numFmtId="4" fontId="4" fillId="15" borderId="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4" fontId="29" fillId="0" borderId="0" xfId="0" applyNumberFormat="1" applyFont="1" applyAlignment="1">
      <alignment horizontal="center"/>
    </xf>
    <xf numFmtId="0" fontId="20" fillId="20" borderId="0" xfId="0" applyFont="1" applyFill="1" applyAlignment="1">
      <alignment horizontal="center" vertical="center" wrapText="1"/>
    </xf>
    <xf numFmtId="0" fontId="37" fillId="18" borderId="5" xfId="0" applyFont="1" applyFill="1" applyBorder="1" applyAlignment="1">
      <alignment horizontal="center" vertical="center" wrapText="1"/>
    </xf>
    <xf numFmtId="0" fontId="20" fillId="20" borderId="0" xfId="0" applyFont="1" applyFill="1" applyAlignment="1">
      <alignment horizontal="center" wrapText="1"/>
    </xf>
    <xf numFmtId="0" fontId="0" fillId="20" borderId="0" xfId="0" applyFill="1" applyAlignment="1">
      <alignment horizontal="center"/>
    </xf>
    <xf numFmtId="0" fontId="37" fillId="18" borderId="6" xfId="0" applyFont="1" applyFill="1" applyBorder="1" applyAlignment="1">
      <alignment horizontal="center" vertical="center" wrapText="1"/>
    </xf>
    <xf numFmtId="0" fontId="38" fillId="0" borderId="7" xfId="0" applyFont="1" applyBorder="1"/>
    <xf numFmtId="0" fontId="38" fillId="0" borderId="8" xfId="0" applyFont="1" applyBorder="1"/>
    <xf numFmtId="0" fontId="20" fillId="9" borderId="6" xfId="0" applyFont="1" applyFill="1" applyBorder="1" applyAlignment="1">
      <alignment horizontal="center" vertical="center" wrapText="1"/>
    </xf>
    <xf numFmtId="0" fontId="20" fillId="9" borderId="0" xfId="0" applyFont="1" applyFill="1" applyAlignment="1">
      <alignment horizontal="center" vertical="center" wrapText="1"/>
    </xf>
    <xf numFmtId="0" fontId="5" fillId="0" borderId="0" xfId="0" applyFont="1"/>
    <xf numFmtId="0" fontId="37" fillId="18" borderId="44" xfId="0" applyFont="1" applyFill="1" applyBorder="1" applyAlignment="1">
      <alignment horizontal="center" vertical="center" wrapText="1"/>
    </xf>
    <xf numFmtId="0" fontId="37" fillId="18" borderId="4" xfId="0" applyFont="1" applyFill="1" applyBorder="1" applyAlignment="1">
      <alignment horizontal="center" vertical="center" wrapText="1"/>
    </xf>
    <xf numFmtId="0" fontId="37" fillId="18" borderId="40" xfId="0" applyFont="1" applyFill="1" applyBorder="1" applyAlignment="1">
      <alignment horizontal="center" vertical="center" wrapText="1"/>
    </xf>
    <xf numFmtId="0" fontId="37" fillId="18" borderId="24" xfId="0" applyFont="1" applyFill="1" applyBorder="1" applyAlignment="1">
      <alignment horizontal="center" vertical="center" wrapText="1"/>
    </xf>
    <xf numFmtId="0" fontId="37" fillId="18" borderId="2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</cellXfs>
  <cellStyles count="10">
    <cellStyle name="Hiperlink" xfId="5" builtinId="8"/>
    <cellStyle name="Moeda" xfId="1" builtinId="4"/>
    <cellStyle name="Moeda 2" xfId="7" xr:uid="{05D79A74-E39A-41C0-9AAB-1D9478979A23}"/>
    <cellStyle name="Neutro" xfId="2" builtinId="28"/>
    <cellStyle name="Normal" xfId="0" builtinId="0"/>
    <cellStyle name="Normal 2" xfId="4" xr:uid="{831D5319-8E36-4417-BD1A-D394CEE791DC}"/>
    <cellStyle name="Normal 2 2" xfId="9" xr:uid="{1F08F960-18FF-46C8-8025-2F1ADA755834}"/>
    <cellStyle name="Normal 3" xfId="6" xr:uid="{964BA3C6-F5AA-4306-B0B9-11F64833C0BB}"/>
    <cellStyle name="Vírgula" xfId="3" builtinId="3"/>
    <cellStyle name="Vírgula 2" xfId="8" xr:uid="{9917ACEC-83A9-4F84-AF65-96DDCC97018B}"/>
  </cellStyles>
  <dxfs count="0"/>
  <tableStyles count="0" defaultTableStyle="TableStyleMedium2" defaultPivotStyle="PivotStyleLight16"/>
  <colors>
    <mruColors>
      <color rgb="FF99C2EF"/>
      <color rgb="FF99D2EF"/>
      <color rgb="FFA1C1E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BDI!A1"/><Relationship Id="rId7" Type="http://schemas.openxmlformats.org/officeDocument/2006/relationships/hyperlink" Target="#RESUMO!A1"/><Relationship Id="rId2" Type="http://schemas.openxmlformats.org/officeDocument/2006/relationships/hyperlink" Target="#'ROTA 2 - MICRO'!A1"/><Relationship Id="rId1" Type="http://schemas.openxmlformats.org/officeDocument/2006/relationships/hyperlink" Target="#Roteiros!A1"/><Relationship Id="rId6" Type="http://schemas.openxmlformats.org/officeDocument/2006/relationships/hyperlink" Target="#'Encargos Sociais'!A1"/><Relationship Id="rId5" Type="http://schemas.openxmlformats.org/officeDocument/2006/relationships/hyperlink" Target="#'Pesquisas de pre&#231;os'!A1"/><Relationship Id="rId4" Type="http://schemas.openxmlformats.org/officeDocument/2006/relationships/hyperlink" Target="#Deprecia&#231;&#227;o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BDI!A1"/><Relationship Id="rId7" Type="http://schemas.openxmlformats.org/officeDocument/2006/relationships/hyperlink" Target="#RESUMO!A1"/><Relationship Id="rId2" Type="http://schemas.openxmlformats.org/officeDocument/2006/relationships/hyperlink" Target="#'ROTA 1 - &#212;NIBUS'!A1"/><Relationship Id="rId1" Type="http://schemas.openxmlformats.org/officeDocument/2006/relationships/hyperlink" Target="#Roteiros!A1"/><Relationship Id="rId6" Type="http://schemas.openxmlformats.org/officeDocument/2006/relationships/hyperlink" Target="#'Encargos Sociais'!A1"/><Relationship Id="rId5" Type="http://schemas.openxmlformats.org/officeDocument/2006/relationships/hyperlink" Target="#'Pesquisas de pre&#231;os'!A1"/><Relationship Id="rId4" Type="http://schemas.openxmlformats.org/officeDocument/2006/relationships/hyperlink" Target="#Deprecia&#231;&#227;o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BDI!A1"/><Relationship Id="rId7" Type="http://schemas.openxmlformats.org/officeDocument/2006/relationships/hyperlink" Target="#RESUMO!A1"/><Relationship Id="rId2" Type="http://schemas.openxmlformats.org/officeDocument/2006/relationships/hyperlink" Target="#'ROTA 2 - MICRO'!A1"/><Relationship Id="rId1" Type="http://schemas.openxmlformats.org/officeDocument/2006/relationships/hyperlink" Target="#'ROTA 1 - &#212;NIBUS'!A1"/><Relationship Id="rId6" Type="http://schemas.openxmlformats.org/officeDocument/2006/relationships/hyperlink" Target="#'Encargos Sociais'!A1"/><Relationship Id="rId5" Type="http://schemas.openxmlformats.org/officeDocument/2006/relationships/hyperlink" Target="#'Pesquisas de pre&#231;os'!A1"/><Relationship Id="rId4" Type="http://schemas.openxmlformats.org/officeDocument/2006/relationships/hyperlink" Target="#Deprecia&#231;&#227;o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BDI!A1"/><Relationship Id="rId7" Type="http://schemas.openxmlformats.org/officeDocument/2006/relationships/hyperlink" Target="#RESUMO!A1"/><Relationship Id="rId2" Type="http://schemas.openxmlformats.org/officeDocument/2006/relationships/hyperlink" Target="#'ROTA 2 - MICRO'!A1"/><Relationship Id="rId1" Type="http://schemas.openxmlformats.org/officeDocument/2006/relationships/hyperlink" Target="#'ROTA 1 - &#212;NIBUS'!A1"/><Relationship Id="rId6" Type="http://schemas.openxmlformats.org/officeDocument/2006/relationships/hyperlink" Target="#Roteiros!A1"/><Relationship Id="rId5" Type="http://schemas.openxmlformats.org/officeDocument/2006/relationships/hyperlink" Target="#'Pesquisas de pre&#231;os'!A1"/><Relationship Id="rId4" Type="http://schemas.openxmlformats.org/officeDocument/2006/relationships/hyperlink" Target="#Deprecia&#231;&#227;o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Encargos Sociais'!A1"/><Relationship Id="rId2" Type="http://schemas.openxmlformats.org/officeDocument/2006/relationships/hyperlink" Target="#'ROTA 2 - MICRO'!A1"/><Relationship Id="rId1" Type="http://schemas.openxmlformats.org/officeDocument/2006/relationships/hyperlink" Target="#'ROTA 1 - &#212;NIBUS'!A1"/><Relationship Id="rId6" Type="http://schemas.openxmlformats.org/officeDocument/2006/relationships/hyperlink" Target="#RESUMO!A1"/><Relationship Id="rId5" Type="http://schemas.openxmlformats.org/officeDocument/2006/relationships/hyperlink" Target="#'Pesquisas de pre&#231;os'!A1"/><Relationship Id="rId4" Type="http://schemas.openxmlformats.org/officeDocument/2006/relationships/hyperlink" Target="#Deprecia&#231;&#227;o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'Encargos Sociais'!A1"/><Relationship Id="rId2" Type="http://schemas.openxmlformats.org/officeDocument/2006/relationships/hyperlink" Target="#'ROTA 2 - MICRO'!A1"/><Relationship Id="rId1" Type="http://schemas.openxmlformats.org/officeDocument/2006/relationships/hyperlink" Target="#'ROTA 1 - &#212;NIBUS'!A1"/><Relationship Id="rId6" Type="http://schemas.openxmlformats.org/officeDocument/2006/relationships/hyperlink" Target="#RESUMO!A1"/><Relationship Id="rId5" Type="http://schemas.openxmlformats.org/officeDocument/2006/relationships/hyperlink" Target="#'Pesquisas de pre&#231;os'!A1"/><Relationship Id="rId4" Type="http://schemas.openxmlformats.org/officeDocument/2006/relationships/hyperlink" Target="#BDI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Encargos Sociais'!A1"/><Relationship Id="rId7" Type="http://schemas.openxmlformats.org/officeDocument/2006/relationships/hyperlink" Target="#RESUMO!A1"/><Relationship Id="rId2" Type="http://schemas.openxmlformats.org/officeDocument/2006/relationships/hyperlink" Target="#'ROTA 2 - MICRO'!A1"/><Relationship Id="rId1" Type="http://schemas.openxmlformats.org/officeDocument/2006/relationships/hyperlink" Target="#'ROTA 1 - &#212;NIBUS'!A1"/><Relationship Id="rId6" Type="http://schemas.openxmlformats.org/officeDocument/2006/relationships/hyperlink" Target="#Roteiros!A1"/><Relationship Id="rId5" Type="http://schemas.openxmlformats.org/officeDocument/2006/relationships/hyperlink" Target="#BDI!A1"/><Relationship Id="rId4" Type="http://schemas.openxmlformats.org/officeDocument/2006/relationships/hyperlink" Target="#Deprecia&#231;&#227;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5</xdr:row>
      <xdr:rowOff>38100</xdr:rowOff>
    </xdr:from>
    <xdr:to>
      <xdr:col>10</xdr:col>
      <xdr:colOff>186017</xdr:colOff>
      <xdr:row>6</xdr:row>
      <xdr:rowOff>62192</xdr:rowOff>
    </xdr:to>
    <xdr:sp macro="" textlink="">
      <xdr:nvSpPr>
        <xdr:cNvPr id="7" name="Retângulo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9462BA8-F8A7-4E81-8936-96A8FA39DA09}"/>
            </a:ext>
          </a:extLst>
        </xdr:cNvPr>
        <xdr:cNvSpPr/>
      </xdr:nvSpPr>
      <xdr:spPr bwMode="auto">
        <a:xfrm>
          <a:off x="10677525" y="101917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Roteiros</a:t>
          </a:r>
        </a:p>
      </xdr:txBody>
    </xdr:sp>
    <xdr:clientData/>
  </xdr:twoCellAnchor>
  <xdr:twoCellAnchor>
    <xdr:from>
      <xdr:col>8</xdr:col>
      <xdr:colOff>47625</xdr:colOff>
      <xdr:row>6</xdr:row>
      <xdr:rowOff>152400</xdr:rowOff>
    </xdr:from>
    <xdr:to>
      <xdr:col>10</xdr:col>
      <xdr:colOff>195542</xdr:colOff>
      <xdr:row>7</xdr:row>
      <xdr:rowOff>176492</xdr:rowOff>
    </xdr:to>
    <xdr:sp macro="" textlink="">
      <xdr:nvSpPr>
        <xdr:cNvPr id="8" name="Retângulo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D46B81F-1A93-4486-94A1-0FDA6B427B65}"/>
            </a:ext>
          </a:extLst>
        </xdr:cNvPr>
        <xdr:cNvSpPr/>
      </xdr:nvSpPr>
      <xdr:spPr bwMode="auto">
        <a:xfrm>
          <a:off x="10687050" y="13335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2</a:t>
          </a:r>
        </a:p>
      </xdr:txBody>
    </xdr:sp>
    <xdr:clientData/>
  </xdr:twoCellAnchor>
  <xdr:twoCellAnchor>
    <xdr:from>
      <xdr:col>8</xdr:col>
      <xdr:colOff>47625</xdr:colOff>
      <xdr:row>10</xdr:row>
      <xdr:rowOff>19050</xdr:rowOff>
    </xdr:from>
    <xdr:to>
      <xdr:col>10</xdr:col>
      <xdr:colOff>195542</xdr:colOff>
      <xdr:row>11</xdr:row>
      <xdr:rowOff>43142</xdr:rowOff>
    </xdr:to>
    <xdr:sp macro="" textlink="">
      <xdr:nvSpPr>
        <xdr:cNvPr id="10" name="Retângulo 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0B59792-EC89-4D15-82C9-7422F3563BEF}"/>
            </a:ext>
          </a:extLst>
        </xdr:cNvPr>
        <xdr:cNvSpPr/>
      </xdr:nvSpPr>
      <xdr:spPr bwMode="auto">
        <a:xfrm>
          <a:off x="10687050" y="20193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BDI</a:t>
          </a:r>
        </a:p>
      </xdr:txBody>
    </xdr:sp>
    <xdr:clientData/>
  </xdr:twoCellAnchor>
  <xdr:twoCellAnchor>
    <xdr:from>
      <xdr:col>8</xdr:col>
      <xdr:colOff>47625</xdr:colOff>
      <xdr:row>11</xdr:row>
      <xdr:rowOff>152400</xdr:rowOff>
    </xdr:from>
    <xdr:to>
      <xdr:col>10</xdr:col>
      <xdr:colOff>195542</xdr:colOff>
      <xdr:row>12</xdr:row>
      <xdr:rowOff>176492</xdr:rowOff>
    </xdr:to>
    <xdr:sp macro="" textlink="">
      <xdr:nvSpPr>
        <xdr:cNvPr id="11" name="Retângulo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526D4D9-9105-4932-984A-D22C07246F7E}"/>
            </a:ext>
          </a:extLst>
        </xdr:cNvPr>
        <xdr:cNvSpPr/>
      </xdr:nvSpPr>
      <xdr:spPr bwMode="auto">
        <a:xfrm>
          <a:off x="10687050" y="235267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Depreciação</a:t>
          </a:r>
        </a:p>
      </xdr:txBody>
    </xdr:sp>
    <xdr:clientData/>
  </xdr:twoCellAnchor>
  <xdr:twoCellAnchor>
    <xdr:from>
      <xdr:col>8</xdr:col>
      <xdr:colOff>38100</xdr:colOff>
      <xdr:row>13</xdr:row>
      <xdr:rowOff>85725</xdr:rowOff>
    </xdr:from>
    <xdr:to>
      <xdr:col>10</xdr:col>
      <xdr:colOff>186017</xdr:colOff>
      <xdr:row>14</xdr:row>
      <xdr:rowOff>109817</xdr:rowOff>
    </xdr:to>
    <xdr:sp macro="" textlink="">
      <xdr:nvSpPr>
        <xdr:cNvPr id="12" name="Retângulo 1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6553251-493B-4D7C-95A8-D58D8EC06AF1}"/>
            </a:ext>
          </a:extLst>
        </xdr:cNvPr>
        <xdr:cNvSpPr/>
      </xdr:nvSpPr>
      <xdr:spPr bwMode="auto">
        <a:xfrm>
          <a:off x="10677525" y="26860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Pesquisa de Preços</a:t>
          </a:r>
        </a:p>
      </xdr:txBody>
    </xdr:sp>
    <xdr:clientData/>
  </xdr:twoCellAnchor>
  <xdr:twoCellAnchor>
    <xdr:from>
      <xdr:col>8</xdr:col>
      <xdr:colOff>47625</xdr:colOff>
      <xdr:row>8</xdr:row>
      <xdr:rowOff>76200</xdr:rowOff>
    </xdr:from>
    <xdr:to>
      <xdr:col>10</xdr:col>
      <xdr:colOff>195542</xdr:colOff>
      <xdr:row>9</xdr:row>
      <xdr:rowOff>100292</xdr:rowOff>
    </xdr:to>
    <xdr:sp macro="" textlink="">
      <xdr:nvSpPr>
        <xdr:cNvPr id="13" name="Retângulo 1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9509D4C1-78E7-4242-AA8E-7422D18B1040}"/>
            </a:ext>
          </a:extLst>
        </xdr:cNvPr>
        <xdr:cNvSpPr/>
      </xdr:nvSpPr>
      <xdr:spPr bwMode="auto">
        <a:xfrm>
          <a:off x="10687050" y="16764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Encargos Sociais</a:t>
          </a:r>
        </a:p>
      </xdr:txBody>
    </xdr:sp>
    <xdr:clientData/>
  </xdr:twoCellAnchor>
  <xdr:twoCellAnchor>
    <xdr:from>
      <xdr:col>8</xdr:col>
      <xdr:colOff>38100</xdr:colOff>
      <xdr:row>3</xdr:row>
      <xdr:rowOff>152400</xdr:rowOff>
    </xdr:from>
    <xdr:to>
      <xdr:col>10</xdr:col>
      <xdr:colOff>186017</xdr:colOff>
      <xdr:row>4</xdr:row>
      <xdr:rowOff>166967</xdr:rowOff>
    </xdr:to>
    <xdr:sp macro="" textlink="">
      <xdr:nvSpPr>
        <xdr:cNvPr id="2" name="Retângulo 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F853C35-846A-4E5A-B61E-A2B7704C7501}"/>
            </a:ext>
          </a:extLst>
        </xdr:cNvPr>
        <xdr:cNvSpPr/>
      </xdr:nvSpPr>
      <xdr:spPr bwMode="auto">
        <a:xfrm>
          <a:off x="10677525" y="73342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1" baseline="0"/>
            <a:t>Início - Resumo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5</xdr:row>
      <xdr:rowOff>19050</xdr:rowOff>
    </xdr:from>
    <xdr:to>
      <xdr:col>10</xdr:col>
      <xdr:colOff>186017</xdr:colOff>
      <xdr:row>6</xdr:row>
      <xdr:rowOff>43142</xdr:rowOff>
    </xdr:to>
    <xdr:sp macro="" textlink="">
      <xdr:nvSpPr>
        <xdr:cNvPr id="14" name="Retângulo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40E4E3-5CF9-4CB1-9782-BDCEAEC8A7DD}"/>
            </a:ext>
          </a:extLst>
        </xdr:cNvPr>
        <xdr:cNvSpPr/>
      </xdr:nvSpPr>
      <xdr:spPr bwMode="auto">
        <a:xfrm>
          <a:off x="10677525" y="100012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Roteiros</a:t>
          </a:r>
        </a:p>
      </xdr:txBody>
    </xdr:sp>
    <xdr:clientData/>
  </xdr:twoCellAnchor>
  <xdr:twoCellAnchor>
    <xdr:from>
      <xdr:col>8</xdr:col>
      <xdr:colOff>47625</xdr:colOff>
      <xdr:row>6</xdr:row>
      <xdr:rowOff>133350</xdr:rowOff>
    </xdr:from>
    <xdr:to>
      <xdr:col>10</xdr:col>
      <xdr:colOff>195542</xdr:colOff>
      <xdr:row>7</xdr:row>
      <xdr:rowOff>157442</xdr:rowOff>
    </xdr:to>
    <xdr:sp macro="" textlink="">
      <xdr:nvSpPr>
        <xdr:cNvPr id="15" name="Retângulo 1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869DA85-20C6-4FD7-AEB8-D5548AA0F28F}"/>
            </a:ext>
          </a:extLst>
        </xdr:cNvPr>
        <xdr:cNvSpPr/>
      </xdr:nvSpPr>
      <xdr:spPr bwMode="auto">
        <a:xfrm>
          <a:off x="10687050" y="13144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1</a:t>
          </a:r>
        </a:p>
      </xdr:txBody>
    </xdr:sp>
    <xdr:clientData/>
  </xdr:twoCellAnchor>
  <xdr:twoCellAnchor>
    <xdr:from>
      <xdr:col>8</xdr:col>
      <xdr:colOff>47625</xdr:colOff>
      <xdr:row>10</xdr:row>
      <xdr:rowOff>38100</xdr:rowOff>
    </xdr:from>
    <xdr:to>
      <xdr:col>10</xdr:col>
      <xdr:colOff>195542</xdr:colOff>
      <xdr:row>11</xdr:row>
      <xdr:rowOff>62192</xdr:rowOff>
    </xdr:to>
    <xdr:sp macro="" textlink="">
      <xdr:nvSpPr>
        <xdr:cNvPr id="17" name="Retângulo 1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BB4A0C0-30BC-4ED9-B1F8-E5322BBAF736}"/>
            </a:ext>
          </a:extLst>
        </xdr:cNvPr>
        <xdr:cNvSpPr/>
      </xdr:nvSpPr>
      <xdr:spPr bwMode="auto">
        <a:xfrm>
          <a:off x="10039350" y="20383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BDI</a:t>
          </a:r>
        </a:p>
      </xdr:txBody>
    </xdr:sp>
    <xdr:clientData/>
  </xdr:twoCellAnchor>
  <xdr:twoCellAnchor>
    <xdr:from>
      <xdr:col>8</xdr:col>
      <xdr:colOff>47625</xdr:colOff>
      <xdr:row>11</xdr:row>
      <xdr:rowOff>171450</xdr:rowOff>
    </xdr:from>
    <xdr:to>
      <xdr:col>10</xdr:col>
      <xdr:colOff>195542</xdr:colOff>
      <xdr:row>12</xdr:row>
      <xdr:rowOff>195542</xdr:rowOff>
    </xdr:to>
    <xdr:sp macro="" textlink="">
      <xdr:nvSpPr>
        <xdr:cNvPr id="18" name="Retângulo 1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F25C09D-B3E3-4DF6-9C94-EE314E82B28B}"/>
            </a:ext>
          </a:extLst>
        </xdr:cNvPr>
        <xdr:cNvSpPr/>
      </xdr:nvSpPr>
      <xdr:spPr bwMode="auto">
        <a:xfrm>
          <a:off x="10039350" y="237172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Depreciação</a:t>
          </a:r>
        </a:p>
      </xdr:txBody>
    </xdr:sp>
    <xdr:clientData/>
  </xdr:twoCellAnchor>
  <xdr:twoCellAnchor>
    <xdr:from>
      <xdr:col>8</xdr:col>
      <xdr:colOff>38100</xdr:colOff>
      <xdr:row>13</xdr:row>
      <xdr:rowOff>104775</xdr:rowOff>
    </xdr:from>
    <xdr:to>
      <xdr:col>10</xdr:col>
      <xdr:colOff>186017</xdr:colOff>
      <xdr:row>14</xdr:row>
      <xdr:rowOff>128867</xdr:rowOff>
    </xdr:to>
    <xdr:sp macro="" textlink="">
      <xdr:nvSpPr>
        <xdr:cNvPr id="19" name="Retângulo 1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2E957A0B-0F50-4215-829F-CA1C8DEBF58C}"/>
            </a:ext>
          </a:extLst>
        </xdr:cNvPr>
        <xdr:cNvSpPr/>
      </xdr:nvSpPr>
      <xdr:spPr bwMode="auto">
        <a:xfrm>
          <a:off x="10029825" y="27051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Pesquisa de Preços</a:t>
          </a:r>
        </a:p>
      </xdr:txBody>
    </xdr:sp>
    <xdr:clientData/>
  </xdr:twoCellAnchor>
  <xdr:twoCellAnchor>
    <xdr:from>
      <xdr:col>8</xdr:col>
      <xdr:colOff>47625</xdr:colOff>
      <xdr:row>8</xdr:row>
      <xdr:rowOff>95250</xdr:rowOff>
    </xdr:from>
    <xdr:to>
      <xdr:col>10</xdr:col>
      <xdr:colOff>195542</xdr:colOff>
      <xdr:row>9</xdr:row>
      <xdr:rowOff>119342</xdr:rowOff>
    </xdr:to>
    <xdr:sp macro="" textlink="">
      <xdr:nvSpPr>
        <xdr:cNvPr id="20" name="Retângulo 1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24D192B-49CD-480D-A1BF-B9FFFDEB88D3}"/>
            </a:ext>
          </a:extLst>
        </xdr:cNvPr>
        <xdr:cNvSpPr/>
      </xdr:nvSpPr>
      <xdr:spPr bwMode="auto">
        <a:xfrm>
          <a:off x="10039350" y="16954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Encargos Sociais</a:t>
          </a:r>
        </a:p>
      </xdr:txBody>
    </xdr:sp>
    <xdr:clientData/>
  </xdr:twoCellAnchor>
  <xdr:twoCellAnchor>
    <xdr:from>
      <xdr:col>8</xdr:col>
      <xdr:colOff>47625</xdr:colOff>
      <xdr:row>3</xdr:row>
      <xdr:rowOff>123825</xdr:rowOff>
    </xdr:from>
    <xdr:to>
      <xdr:col>10</xdr:col>
      <xdr:colOff>195542</xdr:colOff>
      <xdr:row>4</xdr:row>
      <xdr:rowOff>138392</xdr:rowOff>
    </xdr:to>
    <xdr:sp macro="" textlink="">
      <xdr:nvSpPr>
        <xdr:cNvPr id="3" name="Retângulo 2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A810F0E2-7E11-4407-91B6-2097E6BE8024}"/>
            </a:ext>
          </a:extLst>
        </xdr:cNvPr>
        <xdr:cNvSpPr/>
      </xdr:nvSpPr>
      <xdr:spPr bwMode="auto">
        <a:xfrm>
          <a:off x="10039350" y="7048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1" baseline="0"/>
            <a:t>Início - Resumo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</xdr:row>
      <xdr:rowOff>171450</xdr:rowOff>
    </xdr:from>
    <xdr:to>
      <xdr:col>8</xdr:col>
      <xdr:colOff>262217</xdr:colOff>
      <xdr:row>4</xdr:row>
      <xdr:rowOff>5042</xdr:rowOff>
    </xdr:to>
    <xdr:sp macro="" textlink="">
      <xdr:nvSpPr>
        <xdr:cNvPr id="16" name="Retângulo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553D69-FF38-4D90-95A1-B817D0F9466E}"/>
            </a:ext>
          </a:extLst>
        </xdr:cNvPr>
        <xdr:cNvSpPr/>
      </xdr:nvSpPr>
      <xdr:spPr bwMode="auto">
        <a:xfrm>
          <a:off x="10220325" y="3619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1</a:t>
          </a:r>
        </a:p>
      </xdr:txBody>
    </xdr:sp>
    <xdr:clientData/>
  </xdr:twoCellAnchor>
  <xdr:twoCellAnchor>
    <xdr:from>
      <xdr:col>5</xdr:col>
      <xdr:colOff>514350</xdr:colOff>
      <xdr:row>4</xdr:row>
      <xdr:rowOff>142875</xdr:rowOff>
    </xdr:from>
    <xdr:to>
      <xdr:col>8</xdr:col>
      <xdr:colOff>262217</xdr:colOff>
      <xdr:row>5</xdr:row>
      <xdr:rowOff>176492</xdr:rowOff>
    </xdr:to>
    <xdr:sp macro="" textlink="">
      <xdr:nvSpPr>
        <xdr:cNvPr id="18" name="Retângulo 1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161CB43-4102-4191-8DDE-23FABD8A48B7}"/>
            </a:ext>
          </a:extLst>
        </xdr:cNvPr>
        <xdr:cNvSpPr/>
      </xdr:nvSpPr>
      <xdr:spPr bwMode="auto">
        <a:xfrm>
          <a:off x="10220325" y="71437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2</a:t>
          </a:r>
        </a:p>
      </xdr:txBody>
    </xdr:sp>
    <xdr:clientData/>
  </xdr:twoCellAnchor>
  <xdr:twoCellAnchor>
    <xdr:from>
      <xdr:col>5</xdr:col>
      <xdr:colOff>514350</xdr:colOff>
      <xdr:row>6</xdr:row>
      <xdr:rowOff>85725</xdr:rowOff>
    </xdr:from>
    <xdr:to>
      <xdr:col>8</xdr:col>
      <xdr:colOff>262217</xdr:colOff>
      <xdr:row>7</xdr:row>
      <xdr:rowOff>119342</xdr:rowOff>
    </xdr:to>
    <xdr:sp macro="" textlink="">
      <xdr:nvSpPr>
        <xdr:cNvPr id="19" name="Retângulo 1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A1250CC-9C57-4CC8-AC04-D961657BB85A}"/>
            </a:ext>
          </a:extLst>
        </xdr:cNvPr>
        <xdr:cNvSpPr/>
      </xdr:nvSpPr>
      <xdr:spPr bwMode="auto">
        <a:xfrm>
          <a:off x="10220325" y="13906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BDI</a:t>
          </a:r>
        </a:p>
      </xdr:txBody>
    </xdr:sp>
    <xdr:clientData/>
  </xdr:twoCellAnchor>
  <xdr:twoCellAnchor>
    <xdr:from>
      <xdr:col>5</xdr:col>
      <xdr:colOff>514350</xdr:colOff>
      <xdr:row>8</xdr:row>
      <xdr:rowOff>38100</xdr:rowOff>
    </xdr:from>
    <xdr:to>
      <xdr:col>8</xdr:col>
      <xdr:colOff>262217</xdr:colOff>
      <xdr:row>8</xdr:row>
      <xdr:rowOff>443192</xdr:rowOff>
    </xdr:to>
    <xdr:sp macro="" textlink="">
      <xdr:nvSpPr>
        <xdr:cNvPr id="20" name="Retângulo 1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1829A84-D6D1-4D4B-AA6B-D82EB79CE4C7}"/>
            </a:ext>
          </a:extLst>
        </xdr:cNvPr>
        <xdr:cNvSpPr/>
      </xdr:nvSpPr>
      <xdr:spPr bwMode="auto">
        <a:xfrm>
          <a:off x="10220325" y="1724025"/>
          <a:ext cx="1367117" cy="405092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Depreciação</a:t>
          </a:r>
        </a:p>
      </xdr:txBody>
    </xdr:sp>
    <xdr:clientData/>
  </xdr:twoCellAnchor>
  <xdr:twoCellAnchor>
    <xdr:from>
      <xdr:col>5</xdr:col>
      <xdr:colOff>504825</xdr:colOff>
      <xdr:row>9</xdr:row>
      <xdr:rowOff>9525</xdr:rowOff>
    </xdr:from>
    <xdr:to>
      <xdr:col>8</xdr:col>
      <xdr:colOff>252692</xdr:colOff>
      <xdr:row>10</xdr:row>
      <xdr:rowOff>33617</xdr:rowOff>
    </xdr:to>
    <xdr:sp macro="" textlink="">
      <xdr:nvSpPr>
        <xdr:cNvPr id="21" name="Retângulo 2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BF411E84-A2E3-442B-A438-9ACB49AC51F5}"/>
            </a:ext>
          </a:extLst>
        </xdr:cNvPr>
        <xdr:cNvSpPr/>
      </xdr:nvSpPr>
      <xdr:spPr bwMode="auto">
        <a:xfrm>
          <a:off x="10210800" y="223837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Pesquisa de Preços</a:t>
          </a:r>
        </a:p>
      </xdr:txBody>
    </xdr:sp>
    <xdr:clientData/>
  </xdr:twoCellAnchor>
  <xdr:twoCellAnchor>
    <xdr:from>
      <xdr:col>5</xdr:col>
      <xdr:colOff>514350</xdr:colOff>
      <xdr:row>5</xdr:row>
      <xdr:rowOff>285750</xdr:rowOff>
    </xdr:from>
    <xdr:to>
      <xdr:col>8</xdr:col>
      <xdr:colOff>262217</xdr:colOff>
      <xdr:row>5</xdr:row>
      <xdr:rowOff>509867</xdr:rowOff>
    </xdr:to>
    <xdr:sp macro="" textlink="">
      <xdr:nvSpPr>
        <xdr:cNvPr id="22" name="Retângulo 2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B19C82D2-2780-4AFC-82DF-1C0D0CE65630}"/>
            </a:ext>
          </a:extLst>
        </xdr:cNvPr>
        <xdr:cNvSpPr/>
      </xdr:nvSpPr>
      <xdr:spPr bwMode="auto">
        <a:xfrm>
          <a:off x="10220325" y="10477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Encargos Sociais</a:t>
          </a:r>
        </a:p>
      </xdr:txBody>
    </xdr:sp>
    <xdr:clientData/>
  </xdr:twoCellAnchor>
  <xdr:twoCellAnchor>
    <xdr:from>
      <xdr:col>5</xdr:col>
      <xdr:colOff>523875</xdr:colOff>
      <xdr:row>1</xdr:row>
      <xdr:rowOff>47625</xdr:rowOff>
    </xdr:from>
    <xdr:to>
      <xdr:col>8</xdr:col>
      <xdr:colOff>271742</xdr:colOff>
      <xdr:row>2</xdr:row>
      <xdr:rowOff>81242</xdr:rowOff>
    </xdr:to>
    <xdr:sp macro="" textlink="">
      <xdr:nvSpPr>
        <xdr:cNvPr id="2" name="Retângulo 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88FA3679-6C35-45D6-8D2A-E653C8AFF11C}"/>
            </a:ext>
          </a:extLst>
        </xdr:cNvPr>
        <xdr:cNvSpPr/>
      </xdr:nvSpPr>
      <xdr:spPr bwMode="auto">
        <a:xfrm>
          <a:off x="10229850" y="2476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1" baseline="0"/>
            <a:t>Início - Resumo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6</xdr:col>
      <xdr:colOff>147917</xdr:colOff>
      <xdr:row>2</xdr:row>
      <xdr:rowOff>5042</xdr:rowOff>
    </xdr:to>
    <xdr:sp macro="" textlink="">
      <xdr:nvSpPr>
        <xdr:cNvPr id="3" name="Retângulo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45D2D13-E575-4841-8864-86EF2B2B51C2}"/>
            </a:ext>
          </a:extLst>
        </xdr:cNvPr>
        <xdr:cNvSpPr/>
      </xdr:nvSpPr>
      <xdr:spPr bwMode="auto">
        <a:xfrm>
          <a:off x="5314950" y="16192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1</a:t>
          </a:r>
        </a:p>
      </xdr:txBody>
    </xdr:sp>
    <xdr:clientData/>
  </xdr:twoCellAnchor>
  <xdr:twoCellAnchor>
    <xdr:from>
      <xdr:col>4</xdr:col>
      <xdr:colOff>9525</xdr:colOff>
      <xdr:row>2</xdr:row>
      <xdr:rowOff>95250</xdr:rowOff>
    </xdr:from>
    <xdr:to>
      <xdr:col>6</xdr:col>
      <xdr:colOff>157442</xdr:colOff>
      <xdr:row>3</xdr:row>
      <xdr:rowOff>147917</xdr:rowOff>
    </xdr:to>
    <xdr:sp macro="" textlink="">
      <xdr:nvSpPr>
        <xdr:cNvPr id="2" name="Retângulo 1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F34654E-E08E-4BA7-808A-4675CF91C1E2}"/>
            </a:ext>
          </a:extLst>
        </xdr:cNvPr>
        <xdr:cNvSpPr/>
      </xdr:nvSpPr>
      <xdr:spPr bwMode="auto">
        <a:xfrm>
          <a:off x="5324475" y="4762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2</a:t>
          </a:r>
        </a:p>
      </xdr:txBody>
    </xdr:sp>
    <xdr:clientData/>
  </xdr:twoCellAnchor>
  <xdr:twoCellAnchor>
    <xdr:from>
      <xdr:col>4</xdr:col>
      <xdr:colOff>9525</xdr:colOff>
      <xdr:row>8</xdr:row>
      <xdr:rowOff>85725</xdr:rowOff>
    </xdr:from>
    <xdr:to>
      <xdr:col>6</xdr:col>
      <xdr:colOff>157442</xdr:colOff>
      <xdr:row>9</xdr:row>
      <xdr:rowOff>138392</xdr:rowOff>
    </xdr:to>
    <xdr:sp macro="" textlink="">
      <xdr:nvSpPr>
        <xdr:cNvPr id="8" name="Retângulo 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6D0A806-C45F-4ED1-B703-75B3F4ADF4F2}"/>
            </a:ext>
          </a:extLst>
        </xdr:cNvPr>
        <xdr:cNvSpPr/>
      </xdr:nvSpPr>
      <xdr:spPr bwMode="auto">
        <a:xfrm>
          <a:off x="5324475" y="149542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BDI</a:t>
          </a:r>
        </a:p>
      </xdr:txBody>
    </xdr:sp>
    <xdr:clientData/>
  </xdr:twoCellAnchor>
  <xdr:twoCellAnchor>
    <xdr:from>
      <xdr:col>4</xdr:col>
      <xdr:colOff>9525</xdr:colOff>
      <xdr:row>10</xdr:row>
      <xdr:rowOff>76200</xdr:rowOff>
    </xdr:from>
    <xdr:to>
      <xdr:col>6</xdr:col>
      <xdr:colOff>157442</xdr:colOff>
      <xdr:row>11</xdr:row>
      <xdr:rowOff>128867</xdr:rowOff>
    </xdr:to>
    <xdr:sp macro="" textlink="">
      <xdr:nvSpPr>
        <xdr:cNvPr id="9" name="Retângulo 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AC1C4A4-CBCD-496E-8F2A-14BC1BE9E963}"/>
            </a:ext>
          </a:extLst>
        </xdr:cNvPr>
        <xdr:cNvSpPr/>
      </xdr:nvSpPr>
      <xdr:spPr bwMode="auto">
        <a:xfrm>
          <a:off x="5324475" y="18288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Depreciação</a:t>
          </a:r>
        </a:p>
      </xdr:txBody>
    </xdr:sp>
    <xdr:clientData/>
  </xdr:twoCellAnchor>
  <xdr:twoCellAnchor>
    <xdr:from>
      <xdr:col>4</xdr:col>
      <xdr:colOff>0</xdr:colOff>
      <xdr:row>12</xdr:row>
      <xdr:rowOff>66675</xdr:rowOff>
    </xdr:from>
    <xdr:to>
      <xdr:col>6</xdr:col>
      <xdr:colOff>147917</xdr:colOff>
      <xdr:row>13</xdr:row>
      <xdr:rowOff>119342</xdr:rowOff>
    </xdr:to>
    <xdr:sp macro="" textlink="">
      <xdr:nvSpPr>
        <xdr:cNvPr id="11" name="Retângulo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146057C-77B8-004D-1687-4EF8B7546CFC}"/>
            </a:ext>
          </a:extLst>
        </xdr:cNvPr>
        <xdr:cNvSpPr/>
      </xdr:nvSpPr>
      <xdr:spPr bwMode="auto">
        <a:xfrm>
          <a:off x="5314950" y="216217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Pesquisa de Preços</a:t>
          </a:r>
        </a:p>
      </xdr:txBody>
    </xdr:sp>
    <xdr:clientData/>
  </xdr:twoCellAnchor>
  <xdr:twoCellAnchor>
    <xdr:from>
      <xdr:col>4</xdr:col>
      <xdr:colOff>9525</xdr:colOff>
      <xdr:row>6</xdr:row>
      <xdr:rowOff>85725</xdr:rowOff>
    </xdr:from>
    <xdr:to>
      <xdr:col>6</xdr:col>
      <xdr:colOff>157442</xdr:colOff>
      <xdr:row>7</xdr:row>
      <xdr:rowOff>138392</xdr:rowOff>
    </xdr:to>
    <xdr:sp macro="" textlink="">
      <xdr:nvSpPr>
        <xdr:cNvPr id="13" name="Retângulo 1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96EC4A8-95A3-4214-8F53-CF7D1D3F53BB}"/>
            </a:ext>
          </a:extLst>
        </xdr:cNvPr>
        <xdr:cNvSpPr/>
      </xdr:nvSpPr>
      <xdr:spPr bwMode="auto">
        <a:xfrm>
          <a:off x="5324475" y="115252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Roteiros</a:t>
          </a:r>
        </a:p>
      </xdr:txBody>
    </xdr:sp>
    <xdr:clientData/>
  </xdr:twoCellAnchor>
  <xdr:twoCellAnchor>
    <xdr:from>
      <xdr:col>4</xdr:col>
      <xdr:colOff>19050</xdr:colOff>
      <xdr:row>4</xdr:row>
      <xdr:rowOff>76200</xdr:rowOff>
    </xdr:from>
    <xdr:to>
      <xdr:col>6</xdr:col>
      <xdr:colOff>166967</xdr:colOff>
      <xdr:row>5</xdr:row>
      <xdr:rowOff>128867</xdr:rowOff>
    </xdr:to>
    <xdr:sp macro="" textlink="">
      <xdr:nvSpPr>
        <xdr:cNvPr id="4" name="Retângulo 3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B9EE0EBE-EA25-40EA-BF39-AEBACEA2F4C6}"/>
            </a:ext>
          </a:extLst>
        </xdr:cNvPr>
        <xdr:cNvSpPr/>
      </xdr:nvSpPr>
      <xdr:spPr bwMode="auto">
        <a:xfrm>
          <a:off x="5334000" y="8001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1" baseline="0"/>
            <a:t>Início - Resumo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5</xdr:row>
      <xdr:rowOff>57150</xdr:rowOff>
    </xdr:from>
    <xdr:to>
      <xdr:col>9</xdr:col>
      <xdr:colOff>405092</xdr:colOff>
      <xdr:row>6</xdr:row>
      <xdr:rowOff>109817</xdr:rowOff>
    </xdr:to>
    <xdr:sp macro="" textlink="">
      <xdr:nvSpPr>
        <xdr:cNvPr id="3" name="Retângulo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FAA2E7-6087-47F1-8909-3A48B778B6F3}"/>
            </a:ext>
          </a:extLst>
        </xdr:cNvPr>
        <xdr:cNvSpPr/>
      </xdr:nvSpPr>
      <xdr:spPr bwMode="auto">
        <a:xfrm>
          <a:off x="6457950" y="6096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1</a:t>
          </a:r>
        </a:p>
      </xdr:txBody>
    </xdr:sp>
    <xdr:clientData/>
  </xdr:twoCellAnchor>
  <xdr:twoCellAnchor>
    <xdr:from>
      <xdr:col>7</xdr:col>
      <xdr:colOff>114300</xdr:colOff>
      <xdr:row>7</xdr:row>
      <xdr:rowOff>28575</xdr:rowOff>
    </xdr:from>
    <xdr:to>
      <xdr:col>9</xdr:col>
      <xdr:colOff>414617</xdr:colOff>
      <xdr:row>8</xdr:row>
      <xdr:rowOff>81242</xdr:rowOff>
    </xdr:to>
    <xdr:sp macro="" textlink="">
      <xdr:nvSpPr>
        <xdr:cNvPr id="4" name="Retângul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4BAD42F-7532-4453-B9CE-020EF02D79B6}"/>
            </a:ext>
          </a:extLst>
        </xdr:cNvPr>
        <xdr:cNvSpPr/>
      </xdr:nvSpPr>
      <xdr:spPr bwMode="auto">
        <a:xfrm>
          <a:off x="6467475" y="92392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2</a:t>
          </a:r>
        </a:p>
      </xdr:txBody>
    </xdr:sp>
    <xdr:clientData/>
  </xdr:twoCellAnchor>
  <xdr:twoCellAnchor>
    <xdr:from>
      <xdr:col>7</xdr:col>
      <xdr:colOff>104775</xdr:colOff>
      <xdr:row>10</xdr:row>
      <xdr:rowOff>114665</xdr:rowOff>
    </xdr:from>
    <xdr:to>
      <xdr:col>9</xdr:col>
      <xdr:colOff>405092</xdr:colOff>
      <xdr:row>12</xdr:row>
      <xdr:rowOff>28575</xdr:rowOff>
    </xdr:to>
    <xdr:sp macro="" textlink="">
      <xdr:nvSpPr>
        <xdr:cNvPr id="6" name="Retângulo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CD7EBC4-6E65-41EA-A292-C0032886F82E}"/>
            </a:ext>
          </a:extLst>
        </xdr:cNvPr>
        <xdr:cNvSpPr/>
      </xdr:nvSpPr>
      <xdr:spPr bwMode="auto">
        <a:xfrm>
          <a:off x="6457950" y="1524365"/>
          <a:ext cx="1367117" cy="266335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Encargos Sociais</a:t>
          </a:r>
        </a:p>
      </xdr:txBody>
    </xdr:sp>
    <xdr:clientData/>
  </xdr:twoCellAnchor>
  <xdr:twoCellAnchor>
    <xdr:from>
      <xdr:col>7</xdr:col>
      <xdr:colOff>114300</xdr:colOff>
      <xdr:row>12</xdr:row>
      <xdr:rowOff>123825</xdr:rowOff>
    </xdr:from>
    <xdr:to>
      <xdr:col>9</xdr:col>
      <xdr:colOff>414617</xdr:colOff>
      <xdr:row>14</xdr:row>
      <xdr:rowOff>14568</xdr:rowOff>
    </xdr:to>
    <xdr:sp macro="" textlink="">
      <xdr:nvSpPr>
        <xdr:cNvPr id="7" name="Retângulo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56AA40A-3A4A-4205-8A55-B9A8B73ADA42}"/>
            </a:ext>
          </a:extLst>
        </xdr:cNvPr>
        <xdr:cNvSpPr/>
      </xdr:nvSpPr>
      <xdr:spPr bwMode="auto">
        <a:xfrm>
          <a:off x="6467475" y="1885950"/>
          <a:ext cx="1367117" cy="252693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Depreciação</a:t>
          </a:r>
        </a:p>
      </xdr:txBody>
    </xdr:sp>
    <xdr:clientData/>
  </xdr:twoCellAnchor>
  <xdr:twoCellAnchor>
    <xdr:from>
      <xdr:col>7</xdr:col>
      <xdr:colOff>104775</xdr:colOff>
      <xdr:row>14</xdr:row>
      <xdr:rowOff>123825</xdr:rowOff>
    </xdr:from>
    <xdr:to>
      <xdr:col>9</xdr:col>
      <xdr:colOff>405092</xdr:colOff>
      <xdr:row>16</xdr:row>
      <xdr:rowOff>5042</xdr:rowOff>
    </xdr:to>
    <xdr:sp macro="" textlink="">
      <xdr:nvSpPr>
        <xdr:cNvPr id="8" name="Retângulo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FC44C9C8-A08A-4956-B353-555822558055}"/>
            </a:ext>
          </a:extLst>
        </xdr:cNvPr>
        <xdr:cNvSpPr/>
      </xdr:nvSpPr>
      <xdr:spPr bwMode="auto">
        <a:xfrm>
          <a:off x="6457950" y="22479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Pesquisa de Preços</a:t>
          </a:r>
        </a:p>
      </xdr:txBody>
    </xdr:sp>
    <xdr:clientData/>
  </xdr:twoCellAnchor>
  <xdr:twoCellAnchor>
    <xdr:from>
      <xdr:col>7</xdr:col>
      <xdr:colOff>104775</xdr:colOff>
      <xdr:row>8</xdr:row>
      <xdr:rowOff>133350</xdr:rowOff>
    </xdr:from>
    <xdr:to>
      <xdr:col>9</xdr:col>
      <xdr:colOff>405092</xdr:colOff>
      <xdr:row>10</xdr:row>
      <xdr:rowOff>14567</xdr:rowOff>
    </xdr:to>
    <xdr:sp macro="" textlink="">
      <xdr:nvSpPr>
        <xdr:cNvPr id="9" name="Retângulo 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A499141-FEE2-47AF-BD51-240695548269}"/>
            </a:ext>
          </a:extLst>
        </xdr:cNvPr>
        <xdr:cNvSpPr/>
      </xdr:nvSpPr>
      <xdr:spPr bwMode="auto">
        <a:xfrm>
          <a:off x="6457950" y="12001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Roteiros</a:t>
          </a:r>
        </a:p>
      </xdr:txBody>
    </xdr:sp>
    <xdr:clientData/>
  </xdr:twoCellAnchor>
  <xdr:twoCellAnchor>
    <xdr:from>
      <xdr:col>7</xdr:col>
      <xdr:colOff>104775</xdr:colOff>
      <xdr:row>1</xdr:row>
      <xdr:rowOff>104775</xdr:rowOff>
    </xdr:from>
    <xdr:to>
      <xdr:col>9</xdr:col>
      <xdr:colOff>405092</xdr:colOff>
      <xdr:row>4</xdr:row>
      <xdr:rowOff>128867</xdr:rowOff>
    </xdr:to>
    <xdr:sp macro="" textlink="">
      <xdr:nvSpPr>
        <xdr:cNvPr id="2" name="Retângulo 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E3907614-8D04-4F9F-B3E2-E013A662E2F2}"/>
            </a:ext>
          </a:extLst>
        </xdr:cNvPr>
        <xdr:cNvSpPr/>
      </xdr:nvSpPr>
      <xdr:spPr bwMode="auto">
        <a:xfrm>
          <a:off x="6457950" y="2857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1" baseline="0"/>
            <a:t>Início - Resumo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</xdr:row>
      <xdr:rowOff>142875</xdr:rowOff>
    </xdr:from>
    <xdr:to>
      <xdr:col>5</xdr:col>
      <xdr:colOff>195542</xdr:colOff>
      <xdr:row>3</xdr:row>
      <xdr:rowOff>119342</xdr:rowOff>
    </xdr:to>
    <xdr:sp macro="" textlink="">
      <xdr:nvSpPr>
        <xdr:cNvPr id="3" name="Retângulo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D77D44-46FB-46C2-A135-A38DAC28A145}"/>
            </a:ext>
          </a:extLst>
        </xdr:cNvPr>
        <xdr:cNvSpPr/>
      </xdr:nvSpPr>
      <xdr:spPr bwMode="auto">
        <a:xfrm>
          <a:off x="4591050" y="63817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1</a:t>
          </a:r>
        </a:p>
      </xdr:txBody>
    </xdr:sp>
    <xdr:clientData/>
  </xdr:twoCellAnchor>
  <xdr:twoCellAnchor>
    <xdr:from>
      <xdr:col>3</xdr:col>
      <xdr:colOff>57150</xdr:colOff>
      <xdr:row>3</xdr:row>
      <xdr:rowOff>209550</xdr:rowOff>
    </xdr:from>
    <xdr:to>
      <xdr:col>5</xdr:col>
      <xdr:colOff>205067</xdr:colOff>
      <xdr:row>4</xdr:row>
      <xdr:rowOff>186017</xdr:rowOff>
    </xdr:to>
    <xdr:sp macro="" textlink="">
      <xdr:nvSpPr>
        <xdr:cNvPr id="4" name="Retângul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6BAAD1D-DCB8-499C-83DA-A0241BCA0430}"/>
            </a:ext>
          </a:extLst>
        </xdr:cNvPr>
        <xdr:cNvSpPr/>
      </xdr:nvSpPr>
      <xdr:spPr bwMode="auto">
        <a:xfrm>
          <a:off x="4600575" y="9525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2</a:t>
          </a:r>
        </a:p>
      </xdr:txBody>
    </xdr:sp>
    <xdr:clientData/>
  </xdr:twoCellAnchor>
  <xdr:twoCellAnchor>
    <xdr:from>
      <xdr:col>3</xdr:col>
      <xdr:colOff>47625</xdr:colOff>
      <xdr:row>6</xdr:row>
      <xdr:rowOff>133350</xdr:rowOff>
    </xdr:from>
    <xdr:to>
      <xdr:col>5</xdr:col>
      <xdr:colOff>195542</xdr:colOff>
      <xdr:row>7</xdr:row>
      <xdr:rowOff>109817</xdr:rowOff>
    </xdr:to>
    <xdr:sp macro="" textlink="">
      <xdr:nvSpPr>
        <xdr:cNvPr id="6" name="Retângulo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0F2668F-9613-4BDA-9ACC-0FFEE66734C7}"/>
            </a:ext>
          </a:extLst>
        </xdr:cNvPr>
        <xdr:cNvSpPr/>
      </xdr:nvSpPr>
      <xdr:spPr bwMode="auto">
        <a:xfrm>
          <a:off x="4591050" y="16192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Encargos Sociais</a:t>
          </a:r>
        </a:p>
      </xdr:txBody>
    </xdr:sp>
    <xdr:clientData/>
  </xdr:twoCellAnchor>
  <xdr:twoCellAnchor>
    <xdr:from>
      <xdr:col>3</xdr:col>
      <xdr:colOff>47625</xdr:colOff>
      <xdr:row>7</xdr:row>
      <xdr:rowOff>219075</xdr:rowOff>
    </xdr:from>
    <xdr:to>
      <xdr:col>5</xdr:col>
      <xdr:colOff>195542</xdr:colOff>
      <xdr:row>8</xdr:row>
      <xdr:rowOff>195542</xdr:rowOff>
    </xdr:to>
    <xdr:sp macro="" textlink="">
      <xdr:nvSpPr>
        <xdr:cNvPr id="7" name="Retângulo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94319A6-71D9-4FF4-B31F-4144EA12C909}"/>
            </a:ext>
          </a:extLst>
        </xdr:cNvPr>
        <xdr:cNvSpPr/>
      </xdr:nvSpPr>
      <xdr:spPr bwMode="auto">
        <a:xfrm>
          <a:off x="4591050" y="1952625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BDI</a:t>
          </a:r>
        </a:p>
      </xdr:txBody>
    </xdr:sp>
    <xdr:clientData/>
  </xdr:twoCellAnchor>
  <xdr:twoCellAnchor>
    <xdr:from>
      <xdr:col>3</xdr:col>
      <xdr:colOff>38100</xdr:colOff>
      <xdr:row>9</xdr:row>
      <xdr:rowOff>57150</xdr:rowOff>
    </xdr:from>
    <xdr:to>
      <xdr:col>5</xdr:col>
      <xdr:colOff>186017</xdr:colOff>
      <xdr:row>10</xdr:row>
      <xdr:rowOff>33617</xdr:rowOff>
    </xdr:to>
    <xdr:sp macro="" textlink="">
      <xdr:nvSpPr>
        <xdr:cNvPr id="8" name="Retângulo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274640A-FA13-4858-A05B-5CF9D8E618E3}"/>
            </a:ext>
          </a:extLst>
        </xdr:cNvPr>
        <xdr:cNvSpPr/>
      </xdr:nvSpPr>
      <xdr:spPr bwMode="auto">
        <a:xfrm>
          <a:off x="4581525" y="228600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Pesquisa de Preços</a:t>
          </a:r>
        </a:p>
      </xdr:txBody>
    </xdr:sp>
    <xdr:clientData/>
  </xdr:twoCellAnchor>
  <xdr:twoCellAnchor>
    <xdr:from>
      <xdr:col>3</xdr:col>
      <xdr:colOff>47625</xdr:colOff>
      <xdr:row>5</xdr:row>
      <xdr:rowOff>38100</xdr:rowOff>
    </xdr:from>
    <xdr:to>
      <xdr:col>5</xdr:col>
      <xdr:colOff>195542</xdr:colOff>
      <xdr:row>6</xdr:row>
      <xdr:rowOff>14567</xdr:rowOff>
    </xdr:to>
    <xdr:sp macro="" textlink="">
      <xdr:nvSpPr>
        <xdr:cNvPr id="9" name="Retângulo 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2432ECD-A244-4E7D-A82E-F3F2A3AED5C5}"/>
            </a:ext>
          </a:extLst>
        </xdr:cNvPr>
        <xdr:cNvSpPr/>
      </xdr:nvSpPr>
      <xdr:spPr bwMode="auto">
        <a:xfrm>
          <a:off x="4591050" y="12763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Roteiros</a:t>
          </a:r>
        </a:p>
      </xdr:txBody>
    </xdr:sp>
    <xdr:clientData/>
  </xdr:twoCellAnchor>
  <xdr:twoCellAnchor>
    <xdr:from>
      <xdr:col>3</xdr:col>
      <xdr:colOff>57150</xdr:colOff>
      <xdr:row>1</xdr:row>
      <xdr:rowOff>76200</xdr:rowOff>
    </xdr:from>
    <xdr:to>
      <xdr:col>5</xdr:col>
      <xdr:colOff>205067</xdr:colOff>
      <xdr:row>2</xdr:row>
      <xdr:rowOff>52667</xdr:rowOff>
    </xdr:to>
    <xdr:sp macro="" textlink="">
      <xdr:nvSpPr>
        <xdr:cNvPr id="2" name="Retângulo 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78ECFC5-8953-4605-8701-447CD8ADE615}"/>
            </a:ext>
          </a:extLst>
        </xdr:cNvPr>
        <xdr:cNvSpPr/>
      </xdr:nvSpPr>
      <xdr:spPr bwMode="auto">
        <a:xfrm>
          <a:off x="4600575" y="323850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1" baseline="0"/>
            <a:t>Início - Resumo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275167</xdr:colOff>
      <xdr:row>3</xdr:row>
      <xdr:rowOff>63500</xdr:rowOff>
    </xdr:from>
    <xdr:to>
      <xdr:col>6</xdr:col>
      <xdr:colOff>710951</xdr:colOff>
      <xdr:row>4</xdr:row>
      <xdr:rowOff>107700</xdr:rowOff>
    </xdr:to>
    <xdr:sp macro="" textlink="">
      <xdr:nvSpPr>
        <xdr:cNvPr id="10" name="Retângulo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1034F93-4328-40C5-A77F-7A9DD71A5890}"/>
            </a:ext>
          </a:extLst>
        </xdr:cNvPr>
        <xdr:cNvSpPr/>
      </xdr:nvSpPr>
      <xdr:spPr bwMode="auto">
        <a:xfrm>
          <a:off x="8307917" y="613833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1</a:t>
          </a:r>
        </a:p>
      </xdr:txBody>
    </xdr:sp>
    <xdr:clientData/>
  </xdr:twoCellAnchor>
  <xdr:twoCellAnchor>
    <xdr:from>
      <xdr:col>5</xdr:col>
      <xdr:colOff>284692</xdr:colOff>
      <xdr:row>5</xdr:row>
      <xdr:rowOff>17991</xdr:rowOff>
    </xdr:from>
    <xdr:to>
      <xdr:col>6</xdr:col>
      <xdr:colOff>720476</xdr:colOff>
      <xdr:row>6</xdr:row>
      <xdr:rowOff>41025</xdr:rowOff>
    </xdr:to>
    <xdr:sp macro="" textlink="">
      <xdr:nvSpPr>
        <xdr:cNvPr id="11" name="Retângulo 10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D6878347-DD16-42EF-8218-DB1870A42DB6}"/>
            </a:ext>
          </a:extLst>
        </xdr:cNvPr>
        <xdr:cNvSpPr/>
      </xdr:nvSpPr>
      <xdr:spPr bwMode="auto">
        <a:xfrm>
          <a:off x="8317442" y="928158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Rota 2</a:t>
          </a:r>
        </a:p>
      </xdr:txBody>
    </xdr:sp>
    <xdr:clientData/>
  </xdr:twoCellAnchor>
  <xdr:twoCellAnchor>
    <xdr:from>
      <xdr:col>5</xdr:col>
      <xdr:colOff>263525</xdr:colOff>
      <xdr:row>7</xdr:row>
      <xdr:rowOff>328083</xdr:rowOff>
    </xdr:from>
    <xdr:to>
      <xdr:col>6</xdr:col>
      <xdr:colOff>699309</xdr:colOff>
      <xdr:row>8</xdr:row>
      <xdr:rowOff>213533</xdr:rowOff>
    </xdr:to>
    <xdr:sp macro="" textlink="">
      <xdr:nvSpPr>
        <xdr:cNvPr id="13" name="Retângulo 1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6CB71AE-7BF5-44E2-BB4C-F2D44A114B34}"/>
            </a:ext>
          </a:extLst>
        </xdr:cNvPr>
        <xdr:cNvSpPr/>
      </xdr:nvSpPr>
      <xdr:spPr bwMode="auto">
        <a:xfrm>
          <a:off x="8296275" y="1629833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Encargos Sociais</a:t>
          </a:r>
        </a:p>
      </xdr:txBody>
    </xdr:sp>
    <xdr:clientData/>
  </xdr:twoCellAnchor>
  <xdr:twoCellAnchor>
    <xdr:from>
      <xdr:col>5</xdr:col>
      <xdr:colOff>263525</xdr:colOff>
      <xdr:row>8</xdr:row>
      <xdr:rowOff>322791</xdr:rowOff>
    </xdr:from>
    <xdr:to>
      <xdr:col>6</xdr:col>
      <xdr:colOff>699309</xdr:colOff>
      <xdr:row>9</xdr:row>
      <xdr:rowOff>208242</xdr:rowOff>
    </xdr:to>
    <xdr:sp macro="" textlink="">
      <xdr:nvSpPr>
        <xdr:cNvPr id="14" name="Retângulo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71069FF-CF8D-43E7-B94A-1A37816AAEC9}"/>
            </a:ext>
          </a:extLst>
        </xdr:cNvPr>
        <xdr:cNvSpPr/>
      </xdr:nvSpPr>
      <xdr:spPr bwMode="auto">
        <a:xfrm>
          <a:off x="8296275" y="1963208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Depreciação</a:t>
          </a:r>
        </a:p>
      </xdr:txBody>
    </xdr:sp>
    <xdr:clientData/>
  </xdr:twoCellAnchor>
  <xdr:twoCellAnchor>
    <xdr:from>
      <xdr:col>5</xdr:col>
      <xdr:colOff>254000</xdr:colOff>
      <xdr:row>9</xdr:row>
      <xdr:rowOff>317500</xdr:rowOff>
    </xdr:from>
    <xdr:to>
      <xdr:col>6</xdr:col>
      <xdr:colOff>689784</xdr:colOff>
      <xdr:row>10</xdr:row>
      <xdr:rowOff>202950</xdr:rowOff>
    </xdr:to>
    <xdr:sp macro="" textlink="">
      <xdr:nvSpPr>
        <xdr:cNvPr id="15" name="Retângulo 1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EA5240F-7E2F-4CAE-8F0A-F777484C1982}"/>
            </a:ext>
          </a:extLst>
        </xdr:cNvPr>
        <xdr:cNvSpPr/>
      </xdr:nvSpPr>
      <xdr:spPr bwMode="auto">
        <a:xfrm>
          <a:off x="8286750" y="2296583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BDI</a:t>
          </a:r>
        </a:p>
      </xdr:txBody>
    </xdr:sp>
    <xdr:clientData/>
  </xdr:twoCellAnchor>
  <xdr:twoCellAnchor>
    <xdr:from>
      <xdr:col>5</xdr:col>
      <xdr:colOff>263525</xdr:colOff>
      <xdr:row>6</xdr:row>
      <xdr:rowOff>175683</xdr:rowOff>
    </xdr:from>
    <xdr:to>
      <xdr:col>6</xdr:col>
      <xdr:colOff>699309</xdr:colOff>
      <xdr:row>7</xdr:row>
      <xdr:rowOff>209300</xdr:rowOff>
    </xdr:to>
    <xdr:sp macro="" textlink="">
      <xdr:nvSpPr>
        <xdr:cNvPr id="16" name="Retângulo 1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CA9C8A1D-C92F-4DD2-A865-5CCEB5A4DAB9}"/>
            </a:ext>
          </a:extLst>
        </xdr:cNvPr>
        <xdr:cNvSpPr/>
      </xdr:nvSpPr>
      <xdr:spPr bwMode="auto">
        <a:xfrm>
          <a:off x="8296275" y="1286933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aseline="0"/>
            <a:t>Roteiros</a:t>
          </a:r>
        </a:p>
      </xdr:txBody>
    </xdr:sp>
    <xdr:clientData/>
  </xdr:twoCellAnchor>
  <xdr:twoCellAnchor>
    <xdr:from>
      <xdr:col>5</xdr:col>
      <xdr:colOff>264584</xdr:colOff>
      <xdr:row>1</xdr:row>
      <xdr:rowOff>105833</xdr:rowOff>
    </xdr:from>
    <xdr:to>
      <xdr:col>6</xdr:col>
      <xdr:colOff>700368</xdr:colOff>
      <xdr:row>2</xdr:row>
      <xdr:rowOff>150033</xdr:rowOff>
    </xdr:to>
    <xdr:sp macro="" textlink="">
      <xdr:nvSpPr>
        <xdr:cNvPr id="2" name="Retângulo 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AB474938-4FD3-42A8-B17E-1C68B27C2487}"/>
            </a:ext>
          </a:extLst>
        </xdr:cNvPr>
        <xdr:cNvSpPr/>
      </xdr:nvSpPr>
      <xdr:spPr bwMode="auto">
        <a:xfrm>
          <a:off x="8297334" y="296333"/>
          <a:ext cx="1367117" cy="224117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t-BR" sz="1100" b="1" baseline="0"/>
            <a:t>Início - Resumo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ordpress-direta.s3.sa-east-1.amazonaws.com/sites/329/wp-content/uploads/2024/07/04142843/SINFRETIBA-SINDICATO-DAS-EMPRESAS-DE-TRANSPORTE-DE-PASSAGEIROS-POR-FRETAMENTO.pdf" TargetMode="External"/><Relationship Id="rId1" Type="http://schemas.openxmlformats.org/officeDocument/2006/relationships/hyperlink" Target="https://sefaz.es.gov.br/Media/Sefaz/Ag%C3%AAncia%20Virtual/IPVA%20-%20Base%20C%C3%A1lculo/2019/TABELA%20D%20-%20%C3%94NIBUS%20E%20MICRO%C3%94NIBUS.pdf" TargetMode="External"/><Relationship Id="rId4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3370D-3B64-497B-896F-169E43246963}">
  <sheetPr>
    <pageSetUpPr fitToPage="1"/>
  </sheetPr>
  <dimension ref="A1:G15"/>
  <sheetViews>
    <sheetView tabSelected="1" workbookViewId="0">
      <selection activeCell="G23" sqref="G23"/>
    </sheetView>
  </sheetViews>
  <sheetFormatPr defaultRowHeight="12.75" x14ac:dyDescent="0.2"/>
  <cols>
    <col min="1" max="1" width="18.7109375" bestFit="1" customWidth="1"/>
    <col min="2" max="2" width="14.140625" customWidth="1"/>
    <col min="3" max="4" width="24.42578125" bestFit="1" customWidth="1"/>
    <col min="5" max="5" width="16.28515625" bestFit="1" customWidth="1"/>
    <col min="6" max="6" width="16.140625" bestFit="1" customWidth="1"/>
    <col min="7" max="7" width="17.140625" bestFit="1" customWidth="1"/>
  </cols>
  <sheetData>
    <row r="1" spans="1:7" ht="15.75" x14ac:dyDescent="0.25">
      <c r="A1" s="381" t="s">
        <v>346</v>
      </c>
      <c r="B1" s="382"/>
      <c r="C1" s="382"/>
      <c r="D1" s="382"/>
      <c r="E1" s="382"/>
      <c r="F1" s="382"/>
      <c r="G1" s="382"/>
    </row>
    <row r="2" spans="1:7" ht="15.75" x14ac:dyDescent="0.25">
      <c r="A2" s="383" t="s">
        <v>0</v>
      </c>
      <c r="B2" s="382"/>
      <c r="C2" s="382"/>
      <c r="D2" s="382"/>
      <c r="E2" s="382"/>
      <c r="F2" s="382"/>
      <c r="G2" s="382"/>
    </row>
    <row r="3" spans="1:7" ht="15.75" x14ac:dyDescent="0.25">
      <c r="A3" s="381" t="s">
        <v>331</v>
      </c>
      <c r="B3" s="382"/>
      <c r="C3" s="382"/>
      <c r="D3" s="382"/>
      <c r="E3" s="382"/>
      <c r="F3" s="382"/>
      <c r="G3" s="382"/>
    </row>
    <row r="4" spans="1:7" ht="15.75" x14ac:dyDescent="0.2">
      <c r="A4" s="384" t="s">
        <v>1</v>
      </c>
      <c r="B4" s="382"/>
      <c r="C4" s="382"/>
      <c r="D4" s="382"/>
      <c r="E4" s="382"/>
      <c r="F4" s="382"/>
      <c r="G4" s="382"/>
    </row>
    <row r="5" spans="1:7" ht="15.75" x14ac:dyDescent="0.2">
      <c r="A5" s="343" t="s">
        <v>224</v>
      </c>
      <c r="B5" s="380" t="s">
        <v>222</v>
      </c>
      <c r="C5" s="380"/>
      <c r="D5" s="380"/>
      <c r="E5" s="343" t="s">
        <v>221</v>
      </c>
      <c r="F5" s="380" t="s">
        <v>223</v>
      </c>
      <c r="G5" s="380"/>
    </row>
    <row r="6" spans="1:7" ht="15.75" x14ac:dyDescent="0.2">
      <c r="A6" s="351"/>
      <c r="B6" s="345"/>
      <c r="C6" s="345"/>
      <c r="D6" s="345"/>
      <c r="E6" s="345"/>
      <c r="F6" s="345"/>
      <c r="G6" s="345"/>
    </row>
    <row r="7" spans="1:7" ht="15.75" x14ac:dyDescent="0.25">
      <c r="A7" s="385" t="s">
        <v>2</v>
      </c>
      <c r="B7" s="386"/>
      <c r="C7" s="386"/>
      <c r="D7" s="386"/>
      <c r="E7" s="386"/>
      <c r="F7" s="386"/>
      <c r="G7" s="386"/>
    </row>
    <row r="8" spans="1:7" ht="18" x14ac:dyDescent="0.25">
      <c r="A8" s="356" t="s">
        <v>3</v>
      </c>
      <c r="B8" s="355" t="s">
        <v>4</v>
      </c>
      <c r="C8" s="355" t="s">
        <v>332</v>
      </c>
      <c r="D8" s="355" t="s">
        <v>333</v>
      </c>
      <c r="E8" s="355" t="s">
        <v>5</v>
      </c>
      <c r="F8" s="355" t="s">
        <v>6</v>
      </c>
      <c r="G8" s="355" t="s">
        <v>7</v>
      </c>
    </row>
    <row r="9" spans="1:7" ht="15.75" x14ac:dyDescent="0.25">
      <c r="A9" s="357">
        <v>1</v>
      </c>
      <c r="B9" s="347">
        <f>'ROTA 1 - ÔNIBUS'!G7</f>
        <v>35</v>
      </c>
      <c r="C9" s="346">
        <v>44</v>
      </c>
      <c r="D9" s="347">
        <f>C9*B9</f>
        <v>1540</v>
      </c>
      <c r="E9" s="347">
        <f>ROUND('ROTA 1 - ÔNIBUS'!D89,2)</f>
        <v>21.6</v>
      </c>
      <c r="F9" s="358">
        <f>E9*D9</f>
        <v>33264</v>
      </c>
      <c r="G9" s="359">
        <f>F9/$F$12</f>
        <v>0.50617655920457971</v>
      </c>
    </row>
    <row r="10" spans="1:7" ht="15.75" x14ac:dyDescent="0.25">
      <c r="A10" s="357" t="s">
        <v>334</v>
      </c>
      <c r="B10" s="347">
        <f>'ROTA 2 - MICRO'!G7</f>
        <v>55</v>
      </c>
      <c r="C10" s="346">
        <v>44</v>
      </c>
      <c r="D10" s="347">
        <f t="shared" ref="D10" si="0">C10*B10</f>
        <v>2420</v>
      </c>
      <c r="E10" s="347">
        <f>ROUND('ROTA 2 - MICRO'!D88,2)</f>
        <v>13.41</v>
      </c>
      <c r="F10" s="358">
        <f>E10*D10</f>
        <v>32452.2</v>
      </c>
      <c r="G10" s="359">
        <f>F10/$F$12</f>
        <v>0.49382344079542034</v>
      </c>
    </row>
    <row r="11" spans="1:7" ht="15.75" x14ac:dyDescent="0.25">
      <c r="A11" s="352"/>
      <c r="B11" s="347"/>
      <c r="C11" s="346"/>
      <c r="D11" s="347"/>
      <c r="E11" s="347"/>
      <c r="F11" s="347"/>
      <c r="G11" s="348"/>
    </row>
    <row r="12" spans="1:7" ht="15.75" x14ac:dyDescent="0.25">
      <c r="A12" s="352" t="s">
        <v>8</v>
      </c>
      <c r="B12" s="347">
        <f>SUM(B9:B11)</f>
        <v>90</v>
      </c>
      <c r="C12" s="346">
        <v>44</v>
      </c>
      <c r="D12" s="347">
        <f>SUM(D9:D11)</f>
        <v>3960</v>
      </c>
      <c r="E12" s="347"/>
      <c r="F12" s="347">
        <f>SUM(F9:F11)</f>
        <v>65716.2</v>
      </c>
      <c r="G12" s="348">
        <v>1</v>
      </c>
    </row>
    <row r="13" spans="1:7" ht="15.75" x14ac:dyDescent="0.25">
      <c r="A13" s="353"/>
      <c r="B13" s="349"/>
      <c r="C13" s="349"/>
      <c r="D13" s="349"/>
      <c r="E13" s="350"/>
      <c r="F13" s="350"/>
      <c r="G13" s="347"/>
    </row>
    <row r="14" spans="1:7" ht="15.75" x14ac:dyDescent="0.25">
      <c r="A14" s="354"/>
      <c r="B14" s="344"/>
      <c r="C14" s="344"/>
      <c r="D14" s="344"/>
      <c r="E14" s="344"/>
      <c r="F14" s="344"/>
      <c r="G14" s="344"/>
    </row>
    <row r="15" spans="1:7" ht="18" x14ac:dyDescent="0.25">
      <c r="A15" s="133" t="s">
        <v>9</v>
      </c>
      <c r="B15" s="379">
        <f ca="1">TODAY()</f>
        <v>45540</v>
      </c>
      <c r="C15" s="379"/>
      <c r="D15" s="379"/>
      <c r="E15" s="369"/>
      <c r="F15" s="344"/>
      <c r="G15" s="344"/>
    </row>
  </sheetData>
  <mergeCells count="8">
    <mergeCell ref="B15:D15"/>
    <mergeCell ref="B5:D5"/>
    <mergeCell ref="F5:G5"/>
    <mergeCell ref="A1:G1"/>
    <mergeCell ref="A2:G2"/>
    <mergeCell ref="A3:G3"/>
    <mergeCell ref="A4:G4"/>
    <mergeCell ref="A7:G7"/>
  </mergeCells>
  <hyperlinks>
    <hyperlink ref="A9" location="'ROTA 1 - ÔNIBUS'!A1" display="'ROTA 1 - ÔNIBUS'!A1" xr:uid="{557C2444-65FD-4EE6-9E73-C0446A766B40}"/>
    <hyperlink ref="A10" location="'ROTA 2 - MICRO'!A1" display="2" xr:uid="{C5BD8B63-255B-4885-A958-EC3482225128}"/>
  </hyperlink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498D2-C953-4412-A471-9B9415EDCAF6}">
  <sheetPr>
    <pageSetUpPr fitToPage="1"/>
  </sheetPr>
  <dimension ref="A1:I119"/>
  <sheetViews>
    <sheetView zoomScaleNormal="100" workbookViewId="0">
      <selection activeCell="L22" sqref="L22"/>
    </sheetView>
  </sheetViews>
  <sheetFormatPr defaultRowHeight="12.75" x14ac:dyDescent="0.2"/>
  <cols>
    <col min="1" max="1" width="39.28515625" customWidth="1"/>
    <col min="2" max="2" width="12.85546875" customWidth="1"/>
    <col min="3" max="3" width="8" customWidth="1"/>
    <col min="4" max="4" width="29.42578125" customWidth="1"/>
    <col min="5" max="5" width="18.42578125" customWidth="1"/>
    <col min="6" max="6" width="19.7109375" customWidth="1"/>
    <col min="7" max="7" width="15.28515625" customWidth="1"/>
    <col min="8" max="8" width="16.5703125" customWidth="1"/>
  </cols>
  <sheetData>
    <row r="1" spans="1:9" ht="16.5" thickBot="1" x14ac:dyDescent="0.3">
      <c r="A1" s="387" t="str">
        <f>RESUMO!A1</f>
        <v>MEDIANEIRA/PR - PREGÃO ELETRÔNICO 67/2024</v>
      </c>
      <c r="B1" s="388"/>
      <c r="C1" s="388"/>
      <c r="D1" s="388"/>
      <c r="E1" s="388"/>
      <c r="F1" s="388"/>
      <c r="G1" s="388"/>
      <c r="H1" s="389"/>
    </row>
    <row r="2" spans="1:9" ht="13.5" thickBot="1" x14ac:dyDescent="0.25">
      <c r="A2" s="390" t="s">
        <v>315</v>
      </c>
      <c r="B2" s="391"/>
      <c r="C2" s="391"/>
      <c r="D2" s="391"/>
      <c r="E2" s="391"/>
      <c r="F2" s="391"/>
      <c r="G2" s="391"/>
      <c r="H2" s="392"/>
    </row>
    <row r="3" spans="1:9" ht="15.75" thickBot="1" x14ac:dyDescent="0.25">
      <c r="A3" s="393" t="s">
        <v>1</v>
      </c>
      <c r="B3" s="388"/>
      <c r="C3" s="388"/>
      <c r="D3" s="388"/>
      <c r="E3" s="388"/>
      <c r="F3" s="388"/>
      <c r="G3" s="388"/>
      <c r="H3" s="389"/>
    </row>
    <row r="4" spans="1:9" ht="16.5" thickBot="1" x14ac:dyDescent="0.3">
      <c r="A4" s="11"/>
      <c r="B4" s="11"/>
      <c r="C4" s="11"/>
      <c r="D4" s="11"/>
      <c r="E4" s="11"/>
      <c r="F4" s="11"/>
      <c r="G4" s="11"/>
      <c r="H4" s="2"/>
    </row>
    <row r="5" spans="1:9" ht="16.5" thickBot="1" x14ac:dyDescent="0.3">
      <c r="A5" s="319" t="s">
        <v>10</v>
      </c>
      <c r="B5" s="320"/>
      <c r="C5" s="320"/>
      <c r="D5" s="320"/>
      <c r="E5" s="320"/>
      <c r="F5" s="320"/>
      <c r="G5" s="321"/>
      <c r="H5" s="2"/>
    </row>
    <row r="6" spans="1:9" ht="15.75" x14ac:dyDescent="0.25">
      <c r="A6" s="308" t="s">
        <v>12</v>
      </c>
      <c r="B6" s="413"/>
      <c r="C6" s="414"/>
      <c r="D6" s="414"/>
      <c r="E6" s="414"/>
      <c r="F6" s="415"/>
      <c r="G6" s="309">
        <v>35</v>
      </c>
      <c r="H6" s="248"/>
      <c r="I6" s="248"/>
    </row>
    <row r="7" spans="1:9" ht="15.75" x14ac:dyDescent="0.25">
      <c r="A7" s="394" t="s">
        <v>250</v>
      </c>
      <c r="B7" s="395"/>
      <c r="C7" s="395"/>
      <c r="D7" s="395"/>
      <c r="E7" s="395"/>
      <c r="F7" s="396"/>
      <c r="G7" s="272">
        <f>G6</f>
        <v>35</v>
      </c>
      <c r="H7" s="248"/>
      <c r="I7" s="248"/>
    </row>
    <row r="8" spans="1:9" ht="15.75" x14ac:dyDescent="0.25">
      <c r="A8" s="310" t="s">
        <v>13</v>
      </c>
      <c r="B8" s="13">
        <f>G7/30</f>
        <v>1.1666666666666667</v>
      </c>
      <c r="C8" s="14" t="s">
        <v>14</v>
      </c>
      <c r="D8" s="416"/>
      <c r="E8" s="417"/>
      <c r="F8" s="418"/>
      <c r="G8" s="311" t="s">
        <v>15</v>
      </c>
      <c r="H8" s="248"/>
      <c r="I8" s="248"/>
    </row>
    <row r="9" spans="1:9" ht="15.75" x14ac:dyDescent="0.25">
      <c r="A9" s="310" t="s">
        <v>16</v>
      </c>
      <c r="B9" s="14">
        <f>(17/60)+1</f>
        <v>1.2833333333333332</v>
      </c>
      <c r="C9" s="416"/>
      <c r="D9" s="417"/>
      <c r="E9" s="417"/>
      <c r="F9" s="418"/>
      <c r="G9" s="312">
        <f>SUM(B9:F9)</f>
        <v>1.2833333333333332</v>
      </c>
      <c r="H9" s="248"/>
      <c r="I9" s="248"/>
    </row>
    <row r="10" spans="1:9" ht="15.75" x14ac:dyDescent="0.25">
      <c r="A10" s="394" t="s">
        <v>254</v>
      </c>
      <c r="B10" s="395"/>
      <c r="C10" s="395"/>
      <c r="D10" s="395"/>
      <c r="E10" s="395"/>
      <c r="F10" s="396"/>
      <c r="G10" s="312">
        <v>1</v>
      </c>
      <c r="H10" s="3"/>
    </row>
    <row r="11" spans="1:9" ht="15.75" x14ac:dyDescent="0.25">
      <c r="A11" s="394" t="s">
        <v>17</v>
      </c>
      <c r="B11" s="395"/>
      <c r="C11" s="395"/>
      <c r="D11" s="395"/>
      <c r="E11" s="395"/>
      <c r="F11" s="396"/>
      <c r="G11" s="272">
        <f>(G10+G9)</f>
        <v>2.2833333333333332</v>
      </c>
      <c r="H11" s="3"/>
    </row>
    <row r="12" spans="1:9" ht="15.75" x14ac:dyDescent="0.25">
      <c r="A12" s="419" t="s">
        <v>321</v>
      </c>
      <c r="B12" s="420"/>
      <c r="C12" s="420"/>
      <c r="D12" s="420"/>
      <c r="E12" s="420"/>
      <c r="F12" s="421"/>
      <c r="G12" s="340"/>
      <c r="H12" s="3"/>
    </row>
    <row r="13" spans="1:9" ht="15.75" x14ac:dyDescent="0.25">
      <c r="A13" s="313" t="s">
        <v>18</v>
      </c>
      <c r="B13" s="422" t="s">
        <v>251</v>
      </c>
      <c r="C13" s="395"/>
      <c r="D13" s="395"/>
      <c r="E13" s="395"/>
      <c r="F13" s="395"/>
      <c r="G13" s="423"/>
      <c r="H13" s="16"/>
    </row>
    <row r="14" spans="1:9" ht="15.75" x14ac:dyDescent="0.25">
      <c r="A14" s="394" t="s">
        <v>253</v>
      </c>
      <c r="B14" s="395"/>
      <c r="C14" s="395"/>
      <c r="D14" s="395"/>
      <c r="E14" s="395"/>
      <c r="F14" s="396"/>
      <c r="G14" s="314">
        <f>'Pesquisas de preços'!H31</f>
        <v>166116</v>
      </c>
      <c r="H14" s="9"/>
    </row>
    <row r="15" spans="1:9" ht="15.75" x14ac:dyDescent="0.25">
      <c r="A15" s="394" t="s">
        <v>19</v>
      </c>
      <c r="B15" s="395"/>
      <c r="C15" s="395"/>
      <c r="D15" s="395"/>
      <c r="E15" s="395"/>
      <c r="F15" s="396"/>
      <c r="G15" s="315">
        <f>'Pesquisas de preços'!$B$15</f>
        <v>6.4550000000000001</v>
      </c>
      <c r="H15" s="9"/>
    </row>
    <row r="16" spans="1:9" ht="15.75" x14ac:dyDescent="0.25">
      <c r="A16" s="394" t="s">
        <v>20</v>
      </c>
      <c r="B16" s="398"/>
      <c r="C16" s="398"/>
      <c r="D16" s="398"/>
      <c r="E16" s="398"/>
      <c r="F16" s="399"/>
      <c r="G16" s="315">
        <v>3</v>
      </c>
      <c r="H16" s="3"/>
    </row>
    <row r="17" spans="1:8" ht="15.75" x14ac:dyDescent="0.25">
      <c r="A17" s="394" t="s">
        <v>21</v>
      </c>
      <c r="B17" s="395"/>
      <c r="C17" s="395"/>
      <c r="D17" s="395"/>
      <c r="E17" s="395"/>
      <c r="F17" s="396"/>
      <c r="G17" s="316">
        <v>0.7</v>
      </c>
      <c r="H17" s="3"/>
    </row>
    <row r="18" spans="1:8" ht="15.75" x14ac:dyDescent="0.25">
      <c r="A18" s="394" t="s">
        <v>252</v>
      </c>
      <c r="B18" s="395"/>
      <c r="C18" s="395"/>
      <c r="D18" s="395"/>
      <c r="E18" s="395"/>
      <c r="F18" s="396"/>
      <c r="G18" s="317">
        <v>4</v>
      </c>
      <c r="H18" s="3"/>
    </row>
    <row r="19" spans="1:8" ht="16.5" thickBot="1" x14ac:dyDescent="0.3">
      <c r="A19" s="400" t="s">
        <v>22</v>
      </c>
      <c r="B19" s="401"/>
      <c r="C19" s="401"/>
      <c r="D19" s="401"/>
      <c r="E19" s="401"/>
      <c r="F19" s="402"/>
      <c r="G19" s="318">
        <f>G18*G7</f>
        <v>140</v>
      </c>
      <c r="H19" s="3"/>
    </row>
    <row r="20" spans="1:8" ht="15.75" thickBot="1" x14ac:dyDescent="0.25">
      <c r="A20" s="3"/>
      <c r="B20" s="3"/>
      <c r="C20" s="3"/>
      <c r="D20" s="3"/>
      <c r="E20" s="3"/>
      <c r="F20" s="3"/>
      <c r="G20" s="3"/>
      <c r="H20" s="3"/>
    </row>
    <row r="21" spans="1:8" ht="15.75" x14ac:dyDescent="0.25">
      <c r="A21" s="17" t="s">
        <v>23</v>
      </c>
      <c r="B21" s="18" t="s">
        <v>24</v>
      </c>
      <c r="C21" s="2"/>
      <c r="D21" s="294" t="s">
        <v>25</v>
      </c>
      <c r="E21" s="295"/>
      <c r="F21" s="295"/>
      <c r="G21" s="296"/>
      <c r="H21" s="297"/>
    </row>
    <row r="22" spans="1:8" ht="16.5" thickBot="1" x14ac:dyDescent="0.3">
      <c r="A22" s="15" t="s">
        <v>26</v>
      </c>
      <c r="B22" s="19">
        <f>(G18*G7*G15)/G16</f>
        <v>301.23333333333335</v>
      </c>
      <c r="C22" s="20"/>
      <c r="D22" s="21" t="s">
        <v>27</v>
      </c>
      <c r="E22" s="22" t="s">
        <v>28</v>
      </c>
      <c r="F22" s="22" t="s">
        <v>29</v>
      </c>
      <c r="G22" s="23" t="s">
        <v>30</v>
      </c>
      <c r="H22" s="298" t="s">
        <v>31</v>
      </c>
    </row>
    <row r="23" spans="1:8" ht="15.75" x14ac:dyDescent="0.25">
      <c r="A23" s="15" t="s">
        <v>32</v>
      </c>
      <c r="B23" s="19">
        <f>G17*G19</f>
        <v>98</v>
      </c>
      <c r="C23" s="20"/>
      <c r="D23" s="299" t="s">
        <v>33</v>
      </c>
      <c r="E23" s="24" t="s">
        <v>34</v>
      </c>
      <c r="F23" s="25">
        <v>6</v>
      </c>
      <c r="G23" s="26">
        <v>986.67</v>
      </c>
      <c r="H23" s="300">
        <f>F23*G23</f>
        <v>5920.0199999999995</v>
      </c>
    </row>
    <row r="24" spans="1:8" ht="15.75" x14ac:dyDescent="0.25">
      <c r="A24" s="15" t="str">
        <f>D21</f>
        <v>1.3 Pneus</v>
      </c>
      <c r="B24" s="19">
        <f>H27</f>
        <v>11.050704</v>
      </c>
      <c r="C24" s="3"/>
      <c r="D24" s="299" t="s">
        <v>35</v>
      </c>
      <c r="E24" s="24" t="s">
        <v>34</v>
      </c>
      <c r="F24" s="24"/>
      <c r="G24" s="27"/>
      <c r="H24" s="300"/>
    </row>
    <row r="25" spans="1:8" ht="15.75" x14ac:dyDescent="0.25">
      <c r="A25" s="5"/>
      <c r="B25" s="15"/>
      <c r="C25" s="1"/>
      <c r="D25" s="299" t="s">
        <v>36</v>
      </c>
      <c r="E25" s="24" t="s">
        <v>34</v>
      </c>
      <c r="F25" s="28">
        <f>F23*F24</f>
        <v>0</v>
      </c>
      <c r="G25" s="26"/>
      <c r="H25" s="300">
        <f>F25*G25</f>
        <v>0</v>
      </c>
    </row>
    <row r="26" spans="1:8" ht="15.75" x14ac:dyDescent="0.25">
      <c r="A26" s="5" t="s">
        <v>37</v>
      </c>
      <c r="B26" s="15">
        <f>SUM(B22:B25)</f>
        <v>410.28403733333334</v>
      </c>
      <c r="C26" s="1"/>
      <c r="D26" s="301" t="s">
        <v>38</v>
      </c>
      <c r="E26" s="30" t="s">
        <v>39</v>
      </c>
      <c r="F26" s="31">
        <v>75000</v>
      </c>
      <c r="G26" s="32">
        <f>H23+H25</f>
        <v>5920.0199999999995</v>
      </c>
      <c r="H26" s="302">
        <f>IFERROR(G26/F26,"-")</f>
        <v>7.8933599999999993E-2</v>
      </c>
    </row>
    <row r="27" spans="1:8" ht="16.5" thickBot="1" x14ac:dyDescent="0.3">
      <c r="A27" s="2"/>
      <c r="B27" s="1"/>
      <c r="C27" s="1"/>
      <c r="D27" s="303" t="s">
        <v>40</v>
      </c>
      <c r="E27" s="304" t="s">
        <v>41</v>
      </c>
      <c r="F27" s="305">
        <f>G19</f>
        <v>140</v>
      </c>
      <c r="G27" s="306">
        <f>H26</f>
        <v>7.8933599999999993E-2</v>
      </c>
      <c r="H27" s="307">
        <f>IFERROR(F27*G27,0)</f>
        <v>11.050704</v>
      </c>
    </row>
    <row r="28" spans="1:8" ht="16.5" thickBot="1" x14ac:dyDescent="0.3">
      <c r="A28" s="2"/>
      <c r="B28" s="3"/>
      <c r="C28" s="3"/>
      <c r="D28" s="3"/>
      <c r="E28" s="3"/>
      <c r="F28" s="3"/>
      <c r="G28" s="3"/>
    </row>
    <row r="29" spans="1:8" ht="16.5" thickBot="1" x14ac:dyDescent="0.3">
      <c r="A29" s="291" t="s">
        <v>42</v>
      </c>
      <c r="B29" s="292"/>
      <c r="C29" s="292"/>
      <c r="D29" s="292"/>
      <c r="E29" s="292"/>
      <c r="F29" s="292"/>
      <c r="G29" s="292"/>
      <c r="H29" s="293"/>
    </row>
    <row r="30" spans="1:8" ht="15.75" x14ac:dyDescent="0.25">
      <c r="A30" s="338" t="s">
        <v>43</v>
      </c>
      <c r="B30" s="339">
        <f>G48*0.0925</f>
        <v>15365.73</v>
      </c>
      <c r="C30" s="3"/>
      <c r="D30" s="281" t="s">
        <v>44</v>
      </c>
      <c r="E30" s="33" t="s">
        <v>45</v>
      </c>
      <c r="F30" s="33" t="s">
        <v>46</v>
      </c>
      <c r="G30" s="33" t="s">
        <v>47</v>
      </c>
      <c r="H30" s="282" t="s">
        <v>11</v>
      </c>
    </row>
    <row r="31" spans="1:8" ht="15.75" x14ac:dyDescent="0.25">
      <c r="A31" s="274" t="s">
        <v>48</v>
      </c>
      <c r="B31" s="329">
        <v>0</v>
      </c>
      <c r="C31" s="3"/>
      <c r="D31" s="271">
        <f>'Pesquisas de preços'!C45</f>
        <v>2940</v>
      </c>
      <c r="E31" s="35">
        <f>'Encargos Sociais'!C32</f>
        <v>0.66401660000000007</v>
      </c>
      <c r="F31" s="36">
        <f>(D31*E31)+D31</f>
        <v>4892.2088039999999</v>
      </c>
      <c r="G31" s="37">
        <v>11.2</v>
      </c>
      <c r="H31" s="272">
        <f>F31*G31</f>
        <v>54792.738604799997</v>
      </c>
    </row>
    <row r="32" spans="1:8" ht="15.75" x14ac:dyDescent="0.25">
      <c r="A32" s="274" t="s">
        <v>49</v>
      </c>
      <c r="B32" s="329">
        <v>85.22</v>
      </c>
      <c r="C32" s="3"/>
      <c r="D32" s="273" t="s">
        <v>50</v>
      </c>
      <c r="E32" s="5" t="s">
        <v>51</v>
      </c>
      <c r="F32" s="5" t="s">
        <v>46</v>
      </c>
      <c r="G32" s="5" t="s">
        <v>47</v>
      </c>
      <c r="H32" s="275" t="s">
        <v>11</v>
      </c>
    </row>
    <row r="33" spans="1:8" ht="15.75" x14ac:dyDescent="0.25">
      <c r="A33" s="274" t="s">
        <v>52</v>
      </c>
      <c r="B33" s="329">
        <v>300</v>
      </c>
      <c r="C33" s="3"/>
      <c r="D33" s="274">
        <f>'Pesquisas de preços'!C48</f>
        <v>512</v>
      </c>
      <c r="E33" s="38">
        <v>4</v>
      </c>
      <c r="F33" s="39">
        <f>(D33/20)*E33</f>
        <v>102.4</v>
      </c>
      <c r="G33" s="40">
        <v>10</v>
      </c>
      <c r="H33" s="272">
        <f>F33*G33</f>
        <v>1024</v>
      </c>
    </row>
    <row r="34" spans="1:8" ht="15.75" x14ac:dyDescent="0.25">
      <c r="A34" s="274" t="s">
        <v>53</v>
      </c>
      <c r="B34" s="329">
        <f>H52</f>
        <v>7911.2523512000007</v>
      </c>
      <c r="C34" s="3"/>
      <c r="D34" s="273" t="s">
        <v>54</v>
      </c>
      <c r="E34" s="5" t="s">
        <v>51</v>
      </c>
      <c r="F34" s="5" t="s">
        <v>46</v>
      </c>
      <c r="G34" s="5" t="s">
        <v>47</v>
      </c>
      <c r="H34" s="275" t="s">
        <v>11</v>
      </c>
    </row>
    <row r="35" spans="1:8" ht="15.75" x14ac:dyDescent="0.25">
      <c r="A35" s="274" t="s">
        <v>55</v>
      </c>
      <c r="B35" s="329">
        <v>1450</v>
      </c>
      <c r="C35" s="3"/>
      <c r="D35" s="274">
        <f>128.68*0.8</f>
        <v>102.94400000000002</v>
      </c>
      <c r="E35" s="38">
        <v>4</v>
      </c>
      <c r="F35" s="39">
        <f>(D35/20)*E35</f>
        <v>20.588800000000003</v>
      </c>
      <c r="G35" s="40">
        <v>10</v>
      </c>
      <c r="H35" s="272">
        <f>F35*G35</f>
        <v>205.88800000000003</v>
      </c>
    </row>
    <row r="36" spans="1:8" ht="16.5" thickBot="1" x14ac:dyDescent="0.3">
      <c r="A36" s="274" t="s">
        <v>56</v>
      </c>
      <c r="B36" s="330">
        <v>1</v>
      </c>
      <c r="C36" s="3"/>
      <c r="D36" s="276" t="s">
        <v>57</v>
      </c>
      <c r="E36" s="277"/>
      <c r="F36" s="278"/>
      <c r="G36" s="279"/>
      <c r="H36" s="280">
        <f>H31+H33+H35</f>
        <v>56022.626604799996</v>
      </c>
    </row>
    <row r="37" spans="1:8" ht="15" x14ac:dyDescent="0.2">
      <c r="A37" s="274" t="s">
        <v>58</v>
      </c>
      <c r="B37" s="329">
        <f>H36*B36</f>
        <v>56022.626604799996</v>
      </c>
      <c r="C37" s="3"/>
      <c r="D37" s="3"/>
      <c r="E37" s="34"/>
      <c r="F37" s="34"/>
      <c r="G37" s="34"/>
      <c r="H37" s="34"/>
    </row>
    <row r="38" spans="1:8" ht="15.75" x14ac:dyDescent="0.25">
      <c r="A38" s="274"/>
      <c r="B38" s="330"/>
      <c r="C38" s="3"/>
      <c r="D38" s="2"/>
      <c r="E38" s="2"/>
      <c r="F38" s="2"/>
      <c r="G38" s="2"/>
      <c r="H38" s="2"/>
    </row>
    <row r="39" spans="1:8" ht="15.75" x14ac:dyDescent="0.25">
      <c r="A39" s="274"/>
      <c r="B39" s="329"/>
      <c r="C39" s="3"/>
      <c r="D39" s="370"/>
      <c r="E39" s="371"/>
      <c r="F39" s="372"/>
      <c r="G39" s="373"/>
      <c r="H39" s="374"/>
    </row>
    <row r="40" spans="1:8" ht="15.75" x14ac:dyDescent="0.25">
      <c r="A40" s="313" t="s">
        <v>59</v>
      </c>
      <c r="B40" s="311">
        <f>SUM(B30:B35)+(B37)+(B39)</f>
        <v>81134.828955999998</v>
      </c>
      <c r="C40" s="3"/>
      <c r="D40" s="2"/>
      <c r="E40" s="2"/>
      <c r="F40" s="2"/>
      <c r="G40" s="2"/>
      <c r="H40" s="2"/>
    </row>
    <row r="41" spans="1:8" ht="15.75" x14ac:dyDescent="0.25">
      <c r="A41" s="313" t="s">
        <v>61</v>
      </c>
      <c r="B41" s="311">
        <f>B40/10*B42</f>
        <v>2105.2029482901517</v>
      </c>
      <c r="C41" s="3"/>
      <c r="D41" s="3"/>
      <c r="E41" s="375"/>
      <c r="F41" s="376"/>
      <c r="G41" s="377"/>
      <c r="H41" s="374"/>
    </row>
    <row r="42" spans="1:8" ht="16.5" thickBot="1" x14ac:dyDescent="0.3">
      <c r="A42" s="331" t="s">
        <v>62</v>
      </c>
      <c r="B42" s="332">
        <f>((G11*5)/44)</f>
        <v>0.25946969696969696</v>
      </c>
      <c r="C42" s="3"/>
      <c r="D42" s="2"/>
      <c r="E42" s="2"/>
      <c r="F42" s="2"/>
      <c r="G42" s="2"/>
      <c r="H42" s="2"/>
    </row>
    <row r="43" spans="1:8" ht="15.75" x14ac:dyDescent="0.25">
      <c r="A43" s="3"/>
      <c r="B43" s="3"/>
      <c r="C43" s="3"/>
      <c r="D43" s="3"/>
      <c r="E43" s="375"/>
      <c r="F43" s="376"/>
      <c r="G43" s="377"/>
      <c r="H43" s="374"/>
    </row>
    <row r="44" spans="1:8" ht="15.75" x14ac:dyDescent="0.25">
      <c r="A44" s="3"/>
      <c r="B44" s="3"/>
      <c r="C44" s="3"/>
      <c r="D44" s="12"/>
      <c r="E44" s="375"/>
      <c r="F44" s="378"/>
      <c r="G44" s="377"/>
      <c r="H44" s="374"/>
    </row>
    <row r="45" spans="1:8" ht="15.75" thickBot="1" x14ac:dyDescent="0.25">
      <c r="A45" s="3"/>
      <c r="B45" s="3"/>
      <c r="C45" s="3"/>
      <c r="D45" s="3"/>
      <c r="E45" s="34"/>
      <c r="F45" s="34"/>
      <c r="G45" s="34"/>
    </row>
    <row r="46" spans="1:8" ht="16.5" thickBot="1" x14ac:dyDescent="0.25">
      <c r="C46" s="3"/>
      <c r="D46" s="334" t="s">
        <v>60</v>
      </c>
      <c r="E46" s="42"/>
      <c r="F46" s="42"/>
      <c r="G46" s="3"/>
    </row>
    <row r="47" spans="1:8" ht="15" x14ac:dyDescent="0.2">
      <c r="C47" s="3"/>
      <c r="D47" s="335" t="s">
        <v>27</v>
      </c>
      <c r="E47" s="249" t="s">
        <v>28</v>
      </c>
      <c r="F47" s="249" t="s">
        <v>29</v>
      </c>
      <c r="G47" s="336" t="s">
        <v>30</v>
      </c>
      <c r="H47" s="337" t="s">
        <v>337</v>
      </c>
    </row>
    <row r="48" spans="1:8" ht="15.75" x14ac:dyDescent="0.25">
      <c r="C48" s="1"/>
      <c r="D48" s="285" t="s">
        <v>63</v>
      </c>
      <c r="E48" s="49" t="s">
        <v>34</v>
      </c>
      <c r="F48" s="50">
        <v>1</v>
      </c>
      <c r="G48" s="136">
        <f>G14</f>
        <v>166116</v>
      </c>
      <c r="H48" s="286">
        <f>SUM((F48*G48)*0.01)+G48</f>
        <v>167777.16</v>
      </c>
    </row>
    <row r="49" spans="1:8" ht="15.75" x14ac:dyDescent="0.25">
      <c r="C49" s="1"/>
      <c r="D49" s="285" t="s">
        <v>64</v>
      </c>
      <c r="E49" s="49" t="s">
        <v>65</v>
      </c>
      <c r="F49" s="50">
        <v>15</v>
      </c>
      <c r="G49" s="51"/>
      <c r="H49" s="286"/>
    </row>
    <row r="50" spans="1:8" ht="15.75" x14ac:dyDescent="0.25">
      <c r="C50" s="52"/>
      <c r="D50" s="285" t="s">
        <v>66</v>
      </c>
      <c r="E50" s="49" t="s">
        <v>65</v>
      </c>
      <c r="F50" s="53">
        <v>0</v>
      </c>
      <c r="G50" s="51"/>
      <c r="H50" s="286"/>
    </row>
    <row r="51" spans="1:8" ht="15" x14ac:dyDescent="0.2">
      <c r="A51" s="34"/>
      <c r="B51" s="34"/>
      <c r="C51" s="34"/>
      <c r="D51" s="285" t="s">
        <v>67</v>
      </c>
      <c r="E51" s="49" t="s">
        <v>68</v>
      </c>
      <c r="F51" s="54">
        <f>Depreciação!B17</f>
        <v>70.73</v>
      </c>
      <c r="G51" s="51">
        <f>H48</f>
        <v>167777.16</v>
      </c>
      <c r="H51" s="286">
        <f>F51*G51/100</f>
        <v>118668.78526800001</v>
      </c>
    </row>
    <row r="52" spans="1:8" ht="16.5" thickBot="1" x14ac:dyDescent="0.25">
      <c r="A52" s="3"/>
      <c r="B52" s="3"/>
      <c r="C52" s="3"/>
      <c r="D52" s="287" t="s">
        <v>69</v>
      </c>
      <c r="E52" s="288" t="s">
        <v>70</v>
      </c>
      <c r="F52" s="289">
        <f>F49*12</f>
        <v>180</v>
      </c>
      <c r="G52" s="333">
        <f>IF(F50&lt;=F49,H51,0)</f>
        <v>118668.78526800001</v>
      </c>
      <c r="H52" s="290">
        <f>IFERROR(G52/F52,0)*12</f>
        <v>7911.2523512000007</v>
      </c>
    </row>
    <row r="53" spans="1:8" ht="15" x14ac:dyDescent="0.2">
      <c r="A53" s="3"/>
      <c r="B53" s="3"/>
      <c r="C53" s="3"/>
      <c r="D53" s="3"/>
      <c r="E53" s="3"/>
      <c r="F53" s="34"/>
      <c r="G53" s="34"/>
      <c r="H53" s="34"/>
    </row>
    <row r="54" spans="1:8" ht="15.75" x14ac:dyDescent="0.25">
      <c r="A54" s="403" t="s">
        <v>71</v>
      </c>
      <c r="B54" s="404"/>
      <c r="C54" s="404"/>
      <c r="D54" s="404"/>
      <c r="E54" s="404"/>
      <c r="F54" s="404"/>
      <c r="G54" s="405"/>
      <c r="H54" s="15">
        <f>($B$41+$B$26)</f>
        <v>2515.486985623485</v>
      </c>
    </row>
    <row r="55" spans="1:8" x14ac:dyDescent="0.2">
      <c r="A55" s="55"/>
      <c r="B55" s="55"/>
      <c r="C55" s="55"/>
      <c r="D55" s="55"/>
      <c r="E55" s="55"/>
      <c r="F55" s="56"/>
      <c r="G55" s="56"/>
      <c r="H55" s="56"/>
    </row>
    <row r="56" spans="1:8" ht="16.5" thickBot="1" x14ac:dyDescent="0.3">
      <c r="A56" s="407" t="s">
        <v>72</v>
      </c>
      <c r="B56" s="408"/>
      <c r="C56" s="408"/>
      <c r="D56" s="408"/>
      <c r="E56" s="408"/>
      <c r="F56" s="408"/>
      <c r="G56" s="409"/>
      <c r="H56" s="56"/>
    </row>
    <row r="57" spans="1:8" ht="16.5" thickBot="1" x14ac:dyDescent="0.25">
      <c r="A57" s="57" t="s">
        <v>27</v>
      </c>
      <c r="B57" s="58" t="s">
        <v>28</v>
      </c>
      <c r="C57" s="58"/>
      <c r="D57" s="58" t="s">
        <v>29</v>
      </c>
      <c r="E57" s="59" t="s">
        <v>30</v>
      </c>
      <c r="F57" s="59" t="s">
        <v>31</v>
      </c>
      <c r="G57" s="60" t="s">
        <v>73</v>
      </c>
      <c r="H57" s="34"/>
    </row>
    <row r="58" spans="1:8" ht="16.5" thickBot="1" x14ac:dyDescent="0.25">
      <c r="A58" s="62" t="s">
        <v>74</v>
      </c>
      <c r="B58" s="24" t="s">
        <v>68</v>
      </c>
      <c r="C58" s="24"/>
      <c r="D58" s="63">
        <f>BDI!C14</f>
        <v>0.20219999999999999</v>
      </c>
      <c r="E58" s="48">
        <f>H54</f>
        <v>2515.486985623485</v>
      </c>
      <c r="F58" s="48">
        <f>D58*E58/1</f>
        <v>508.63146849306867</v>
      </c>
      <c r="G58" s="64"/>
      <c r="H58" s="3"/>
    </row>
    <row r="59" spans="1:8" ht="16.5" thickBot="1" x14ac:dyDescent="0.25">
      <c r="A59" s="65" t="s">
        <v>75</v>
      </c>
      <c r="B59" s="29"/>
      <c r="C59" s="29"/>
      <c r="D59" s="65"/>
      <c r="E59" s="66"/>
      <c r="F59" s="67"/>
      <c r="G59" s="68">
        <f>+F58</f>
        <v>508.63146849306867</v>
      </c>
      <c r="H59" s="3"/>
    </row>
    <row r="60" spans="1:8" ht="15.75" thickBot="1" x14ac:dyDescent="0.25">
      <c r="A60" s="55"/>
      <c r="B60" s="55"/>
      <c r="C60" s="55"/>
      <c r="D60" s="69"/>
      <c r="E60" s="69"/>
      <c r="F60" s="64"/>
      <c r="G60" s="64"/>
      <c r="H60" s="64"/>
    </row>
    <row r="61" spans="1:8" ht="16.5" thickBot="1" x14ac:dyDescent="0.25">
      <c r="A61" s="70" t="s">
        <v>76</v>
      </c>
      <c r="B61" s="71"/>
      <c r="C61" s="71"/>
      <c r="D61" s="72"/>
      <c r="E61" s="72"/>
      <c r="F61" s="73"/>
      <c r="G61" s="74"/>
      <c r="H61" s="75">
        <f>G59</f>
        <v>508.63146849306867</v>
      </c>
    </row>
    <row r="62" spans="1:8" ht="13.5" thickBot="1" x14ac:dyDescent="0.25">
      <c r="A62" s="55"/>
      <c r="B62" s="55"/>
      <c r="C62" s="55"/>
      <c r="D62" s="55"/>
      <c r="E62" s="55"/>
      <c r="F62" s="56"/>
      <c r="G62" s="56"/>
      <c r="H62" s="56"/>
    </row>
    <row r="63" spans="1:8" ht="16.5" thickBot="1" x14ac:dyDescent="0.25">
      <c r="A63" s="70" t="s">
        <v>330</v>
      </c>
      <c r="B63" s="71"/>
      <c r="C63" s="71"/>
      <c r="D63" s="71"/>
      <c r="E63" s="71"/>
      <c r="F63" s="76"/>
      <c r="G63" s="77"/>
      <c r="H63" s="78">
        <f>H54+H61</f>
        <v>3024.1184541165535</v>
      </c>
    </row>
    <row r="64" spans="1:8" ht="15.75" thickBot="1" x14ac:dyDescent="0.25">
      <c r="A64" s="3"/>
      <c r="B64" s="3"/>
      <c r="C64" s="3"/>
      <c r="D64" s="3"/>
      <c r="E64" s="3"/>
      <c r="F64" s="34"/>
      <c r="G64" s="34"/>
      <c r="H64" s="3"/>
    </row>
    <row r="65" spans="1:8" ht="16.5" thickBot="1" x14ac:dyDescent="0.3">
      <c r="A65" s="79" t="s">
        <v>77</v>
      </c>
      <c r="B65" s="80"/>
      <c r="C65" s="80"/>
      <c r="D65" s="80"/>
      <c r="E65" s="80"/>
      <c r="F65" s="80"/>
      <c r="G65" s="80"/>
      <c r="H65" s="81">
        <f>H63/(G7*G18)</f>
        <v>21.600846100832523</v>
      </c>
    </row>
    <row r="66" spans="1:8" ht="15.75" thickBot="1" x14ac:dyDescent="0.25">
      <c r="A66" s="3"/>
      <c r="B66" s="3"/>
      <c r="C66" s="3"/>
      <c r="D66" s="3"/>
      <c r="E66" s="3"/>
      <c r="F66" s="3"/>
      <c r="G66" s="3"/>
      <c r="H66" s="3"/>
    </row>
    <row r="67" spans="1:8" ht="18" x14ac:dyDescent="0.2">
      <c r="A67" s="410" t="s">
        <v>78</v>
      </c>
      <c r="B67" s="411"/>
      <c r="C67" s="411"/>
      <c r="D67" s="411"/>
      <c r="E67" s="411"/>
      <c r="F67" s="411"/>
      <c r="G67" s="412"/>
      <c r="H67" s="3"/>
    </row>
    <row r="68" spans="1:8" ht="18" x14ac:dyDescent="0.2">
      <c r="A68" s="82" t="s">
        <v>79</v>
      </c>
      <c r="B68" s="83"/>
      <c r="C68" s="83"/>
      <c r="D68" s="83"/>
      <c r="E68" s="84"/>
      <c r="F68" s="85" t="s">
        <v>80</v>
      </c>
      <c r="G68" s="86" t="s">
        <v>68</v>
      </c>
      <c r="H68" s="3"/>
    </row>
    <row r="69" spans="1:8" ht="18" x14ac:dyDescent="0.2">
      <c r="A69" s="87" t="str">
        <f>A21</f>
        <v>1- CUSTO VARIÁVEL</v>
      </c>
      <c r="B69" s="88"/>
      <c r="C69" s="88"/>
      <c r="D69" s="88"/>
      <c r="E69" s="89"/>
      <c r="F69" s="84">
        <f>SUM(F70:F72)</f>
        <v>410.28403733333334</v>
      </c>
      <c r="G69" s="90">
        <f t="shared" ref="G69:G75" si="0">F69/$F$78</f>
        <v>0.13567062387216941</v>
      </c>
      <c r="H69" s="3"/>
    </row>
    <row r="70" spans="1:8" ht="18" x14ac:dyDescent="0.2">
      <c r="A70" s="91" t="str">
        <f>A22</f>
        <v xml:space="preserve">1.1 Combustível </v>
      </c>
      <c r="B70" s="83"/>
      <c r="C70" s="83"/>
      <c r="D70" s="83"/>
      <c r="E70" s="92"/>
      <c r="F70" s="92">
        <f>B22</f>
        <v>301.23333333333335</v>
      </c>
      <c r="G70" s="93">
        <f t="shared" si="0"/>
        <v>9.9610295662619378E-2</v>
      </c>
      <c r="H70" s="3"/>
    </row>
    <row r="71" spans="1:8" ht="18" x14ac:dyDescent="0.2">
      <c r="A71" s="94" t="str">
        <f>A23</f>
        <v xml:space="preserve">1.2 Manutenção e insumos </v>
      </c>
      <c r="B71" s="95"/>
      <c r="C71" s="95"/>
      <c r="D71" s="95"/>
      <c r="E71" s="96"/>
      <c r="F71" s="97">
        <f>B23</f>
        <v>98</v>
      </c>
      <c r="G71" s="93">
        <f t="shared" si="0"/>
        <v>3.2406138015724353E-2</v>
      </c>
      <c r="H71" s="3"/>
    </row>
    <row r="72" spans="1:8" ht="18" x14ac:dyDescent="0.2">
      <c r="A72" s="94" t="str">
        <f>A24</f>
        <v>1.3 Pneus</v>
      </c>
      <c r="B72" s="95"/>
      <c r="C72" s="95"/>
      <c r="D72" s="95"/>
      <c r="E72" s="96"/>
      <c r="F72" s="92">
        <f>B24</f>
        <v>11.050704</v>
      </c>
      <c r="G72" s="93">
        <f t="shared" si="0"/>
        <v>3.654190193825685E-3</v>
      </c>
      <c r="H72" s="3"/>
    </row>
    <row r="73" spans="1:8" ht="18" x14ac:dyDescent="0.2">
      <c r="A73" s="98" t="str">
        <f>A29</f>
        <v xml:space="preserve">2 - TOTAL CUSTO FIXO MENSAL </v>
      </c>
      <c r="B73" s="95"/>
      <c r="C73" s="95"/>
      <c r="D73" s="95"/>
      <c r="E73" s="96"/>
      <c r="F73" s="84">
        <f>SUM(F74)</f>
        <v>2105.2029482901517</v>
      </c>
      <c r="G73" s="90">
        <f t="shared" si="0"/>
        <v>0.69613772748367819</v>
      </c>
      <c r="H73" s="3"/>
    </row>
    <row r="74" spans="1:8" ht="18" x14ac:dyDescent="0.2">
      <c r="A74" s="94" t="str">
        <f>A41</f>
        <v>2.1 TOTAL CUSTO FIXO MENSAL</v>
      </c>
      <c r="B74" s="95"/>
      <c r="C74" s="95"/>
      <c r="D74" s="95"/>
      <c r="E74" s="96"/>
      <c r="F74" s="92">
        <f>B41</f>
        <v>2105.2029482901517</v>
      </c>
      <c r="G74" s="93">
        <f t="shared" si="0"/>
        <v>0.69613772748367819</v>
      </c>
      <c r="H74" s="3"/>
    </row>
    <row r="75" spans="1:8" ht="18" x14ac:dyDescent="0.2">
      <c r="A75" s="99" t="str">
        <f>A54</f>
        <v>3- CUSTO TOTAL MENSAL COM DESPESAS OPERACIONAIS</v>
      </c>
      <c r="B75" s="100"/>
      <c r="C75" s="100"/>
      <c r="D75" s="100"/>
      <c r="E75" s="101"/>
      <c r="F75" s="84">
        <f>F69+F73</f>
        <v>2515.486985623485</v>
      </c>
      <c r="G75" s="90">
        <f t="shared" si="0"/>
        <v>0.83180835135584763</v>
      </c>
      <c r="H75" s="3"/>
    </row>
    <row r="76" spans="1:8" ht="18" x14ac:dyDescent="0.25">
      <c r="A76" s="102" t="str">
        <f>A56</f>
        <v xml:space="preserve">4- BENEFÍCIOS E DESPESAS INDIRETAS </v>
      </c>
      <c r="B76" s="103"/>
      <c r="C76" s="103"/>
      <c r="D76" s="100"/>
      <c r="E76" s="84"/>
      <c r="F76" s="84">
        <f>H61</f>
        <v>508.63146849306867</v>
      </c>
      <c r="G76" s="90">
        <f>F76/$F$78</f>
        <v>0.1681916486441524</v>
      </c>
      <c r="H76" s="243"/>
    </row>
    <row r="77" spans="1:8" ht="18.75" thickBot="1" x14ac:dyDescent="0.25">
      <c r="A77" s="104"/>
      <c r="B77" s="105"/>
      <c r="C77" s="105"/>
      <c r="D77" s="106"/>
      <c r="E77" s="107"/>
      <c r="F77" s="108"/>
      <c r="G77" s="109"/>
      <c r="H77" s="3"/>
    </row>
    <row r="78" spans="1:8" ht="18.75" thickBot="1" x14ac:dyDescent="0.3">
      <c r="A78" s="110" t="str">
        <f>A63</f>
        <v xml:space="preserve">5- PREÇO MENSAL TOTAL COM O TRANSPORTE </v>
      </c>
      <c r="B78" s="111"/>
      <c r="C78" s="111"/>
      <c r="D78" s="112"/>
      <c r="E78" s="112"/>
      <c r="F78" s="112">
        <f t="shared" ref="F78:G78" si="1">F75+F76</f>
        <v>3024.1184541165535</v>
      </c>
      <c r="G78" s="113">
        <f t="shared" si="1"/>
        <v>1</v>
      </c>
      <c r="H78" s="244"/>
    </row>
    <row r="79" spans="1:8" ht="18" x14ac:dyDescent="0.25">
      <c r="A79" s="114"/>
      <c r="B79" s="115"/>
      <c r="C79" s="115"/>
      <c r="D79" s="115"/>
      <c r="E79" s="115"/>
      <c r="F79" s="115"/>
      <c r="G79" s="116"/>
      <c r="H79" s="244"/>
    </row>
    <row r="80" spans="1:8" ht="18" x14ac:dyDescent="0.25">
      <c r="A80" s="117" t="s">
        <v>81</v>
      </c>
      <c r="B80" s="118"/>
      <c r="C80" s="118"/>
      <c r="D80" s="118"/>
      <c r="E80" s="118"/>
      <c r="F80" s="118"/>
      <c r="G80" s="119">
        <f>G7</f>
        <v>35</v>
      </c>
      <c r="H80" s="244"/>
    </row>
    <row r="81" spans="1:9" ht="18" x14ac:dyDescent="0.25">
      <c r="A81" s="117" t="s">
        <v>252</v>
      </c>
      <c r="B81" s="118"/>
      <c r="C81" s="118"/>
      <c r="D81" s="118"/>
      <c r="E81" s="118"/>
      <c r="F81" s="118"/>
      <c r="G81" s="120">
        <f>G18</f>
        <v>4</v>
      </c>
      <c r="H81" s="244"/>
    </row>
    <row r="82" spans="1:9" ht="18" x14ac:dyDescent="0.25">
      <c r="A82" s="117" t="s">
        <v>82</v>
      </c>
      <c r="B82" s="118"/>
      <c r="C82" s="118"/>
      <c r="D82" s="121"/>
      <c r="E82" s="121"/>
      <c r="F82" s="118"/>
      <c r="G82" s="119">
        <f>G80*G81</f>
        <v>140</v>
      </c>
      <c r="H82" s="3"/>
    </row>
    <row r="83" spans="1:9" ht="18.75" thickBot="1" x14ac:dyDescent="0.3">
      <c r="A83" s="122" t="s">
        <v>83</v>
      </c>
      <c r="B83" s="123"/>
      <c r="C83" s="123"/>
      <c r="D83" s="124"/>
      <c r="E83" s="124"/>
      <c r="F83" s="123"/>
      <c r="G83" s="125">
        <f>F78/G82</f>
        <v>21.600846100832523</v>
      </c>
      <c r="H83" s="3"/>
    </row>
    <row r="84" spans="1:9" ht="15" x14ac:dyDescent="0.2">
      <c r="A84" s="3"/>
      <c r="B84" s="3"/>
      <c r="C84" s="3"/>
      <c r="E84" s="8"/>
      <c r="F84" s="3"/>
      <c r="G84" s="3"/>
      <c r="H84" s="3"/>
    </row>
    <row r="85" spans="1:9" ht="18" x14ac:dyDescent="0.25">
      <c r="A85" s="126" t="s">
        <v>84</v>
      </c>
      <c r="B85" s="3"/>
      <c r="C85" s="3"/>
      <c r="D85" s="3"/>
      <c r="E85" s="3"/>
      <c r="F85" s="3"/>
      <c r="G85" s="3"/>
      <c r="H85" s="3"/>
    </row>
    <row r="86" spans="1:9" ht="15.75" x14ac:dyDescent="0.25">
      <c r="A86" s="12" t="s">
        <v>85</v>
      </c>
      <c r="B86" s="3"/>
      <c r="C86" s="3"/>
      <c r="D86" s="3"/>
      <c r="E86" s="3"/>
      <c r="F86" s="3"/>
      <c r="G86" s="3"/>
      <c r="H86" s="3"/>
    </row>
    <row r="87" spans="1:9" ht="15.75" x14ac:dyDescent="0.25">
      <c r="A87" s="12" t="s">
        <v>86</v>
      </c>
      <c r="B87" s="127">
        <f>G7</f>
        <v>35</v>
      </c>
      <c r="C87" s="127"/>
      <c r="D87" s="1" t="s">
        <v>87</v>
      </c>
      <c r="E87" s="3"/>
      <c r="F87" s="3"/>
      <c r="G87" s="3"/>
      <c r="H87" s="3"/>
    </row>
    <row r="88" spans="1:9" ht="15.75" x14ac:dyDescent="0.25">
      <c r="A88" s="12" t="s">
        <v>88</v>
      </c>
      <c r="B88" s="1"/>
      <c r="C88" s="1"/>
      <c r="D88" s="1"/>
      <c r="E88" s="3"/>
      <c r="F88" s="3"/>
      <c r="G88" s="3"/>
      <c r="H88" s="3"/>
    </row>
    <row r="89" spans="1:9" ht="15.75" x14ac:dyDescent="0.25">
      <c r="A89" s="12" t="s">
        <v>89</v>
      </c>
      <c r="B89" s="10"/>
      <c r="C89" s="10"/>
      <c r="D89" s="128">
        <f>H65</f>
        <v>21.600846100832523</v>
      </c>
      <c r="E89" s="129"/>
      <c r="F89" s="263"/>
      <c r="G89" s="263"/>
      <c r="H89" s="263"/>
    </row>
    <row r="90" spans="1:9" ht="15.75" x14ac:dyDescent="0.25">
      <c r="A90" s="12"/>
      <c r="B90" s="34"/>
      <c r="C90" s="34"/>
      <c r="D90" s="34"/>
      <c r="E90" s="34"/>
      <c r="F90" s="263"/>
      <c r="G90" s="263"/>
      <c r="H90" s="263"/>
    </row>
    <row r="91" spans="1:9" ht="18" x14ac:dyDescent="0.25">
      <c r="A91" s="130" t="s">
        <v>90</v>
      </c>
      <c r="B91" s="34"/>
      <c r="C91" s="34"/>
      <c r="D91" s="34"/>
      <c r="E91" s="34"/>
      <c r="F91" s="34"/>
      <c r="G91" s="34"/>
      <c r="H91" s="34"/>
    </row>
    <row r="92" spans="1:9" ht="18" x14ac:dyDescent="0.25">
      <c r="A92" s="131"/>
      <c r="B92" s="131"/>
      <c r="C92" s="131"/>
      <c r="D92" s="131"/>
      <c r="E92" s="131"/>
      <c r="F92" s="131"/>
      <c r="G92" s="131"/>
      <c r="H92" s="131"/>
    </row>
    <row r="93" spans="1:9" ht="20.25" x14ac:dyDescent="0.2">
      <c r="A93" s="406" t="s">
        <v>328</v>
      </c>
      <c r="B93" s="406"/>
      <c r="C93" s="406"/>
      <c r="D93" s="406"/>
      <c r="E93" s="406"/>
      <c r="F93" s="406"/>
      <c r="G93" s="406"/>
      <c r="H93" s="406"/>
      <c r="I93" s="406"/>
    </row>
    <row r="94" spans="1:9" ht="18" x14ac:dyDescent="0.2">
      <c r="A94" s="397" t="s">
        <v>91</v>
      </c>
      <c r="B94" s="397"/>
      <c r="C94" s="397"/>
      <c r="D94" s="397"/>
      <c r="E94" s="397"/>
      <c r="F94" s="397"/>
      <c r="G94" s="397"/>
      <c r="H94" s="397"/>
      <c r="I94" s="397"/>
    </row>
    <row r="95" spans="1:9" ht="18" x14ac:dyDescent="0.2">
      <c r="A95" s="397" t="s">
        <v>92</v>
      </c>
      <c r="B95" s="397"/>
      <c r="C95" s="397"/>
      <c r="D95" s="397"/>
      <c r="E95" s="397"/>
      <c r="F95" s="397"/>
      <c r="G95" s="397"/>
      <c r="H95" s="397"/>
      <c r="I95" s="397"/>
    </row>
    <row r="96" spans="1:9" ht="18" x14ac:dyDescent="0.2">
      <c r="A96" s="342" t="s">
        <v>93</v>
      </c>
      <c r="B96" s="397" t="str">
        <f>B13</f>
        <v>ÔNIBUS - mínimo 40 lugares</v>
      </c>
      <c r="C96" s="397"/>
      <c r="D96" s="397"/>
      <c r="E96" s="397"/>
      <c r="F96" s="397"/>
      <c r="G96" s="397"/>
      <c r="H96" s="397"/>
      <c r="I96" s="397"/>
    </row>
    <row r="97" spans="1:9" ht="18" x14ac:dyDescent="0.2">
      <c r="A97" s="397" t="s">
        <v>94</v>
      </c>
      <c r="B97" s="397"/>
      <c r="C97" s="397"/>
      <c r="D97" s="397"/>
      <c r="E97" s="397"/>
      <c r="F97" s="397"/>
      <c r="G97" s="397"/>
      <c r="H97" s="397"/>
      <c r="I97" s="397"/>
    </row>
    <row r="98" spans="1:9" ht="18" x14ac:dyDescent="0.2">
      <c r="A98" s="342" t="s">
        <v>95</v>
      </c>
      <c r="B98" s="397" t="str">
        <f>A14</f>
        <v>Média de valores veículos (fabricação acima de 2014) - Tabela FIPE/SEFAZ</v>
      </c>
      <c r="C98" s="397"/>
      <c r="D98" s="397"/>
      <c r="E98" s="397"/>
      <c r="F98" s="397"/>
      <c r="G98" s="397"/>
      <c r="H98" s="397"/>
      <c r="I98" s="397"/>
    </row>
    <row r="99" spans="1:9" ht="18" x14ac:dyDescent="0.2">
      <c r="A99" s="397" t="s">
        <v>329</v>
      </c>
      <c r="B99" s="397"/>
      <c r="C99" s="397"/>
      <c r="D99" s="397"/>
      <c r="E99" s="397"/>
      <c r="F99" s="397"/>
      <c r="G99" s="397"/>
      <c r="H99" s="397"/>
      <c r="I99" s="397"/>
    </row>
    <row r="100" spans="1:9" ht="18" x14ac:dyDescent="0.2">
      <c r="A100" s="397" t="s">
        <v>96</v>
      </c>
      <c r="B100" s="397"/>
      <c r="C100" s="397"/>
      <c r="D100" s="397"/>
      <c r="E100" s="397"/>
      <c r="F100" s="397"/>
      <c r="G100" s="397"/>
      <c r="H100" s="397"/>
      <c r="I100" s="397"/>
    </row>
    <row r="101" spans="1:9" ht="43.5" customHeight="1" x14ac:dyDescent="0.2">
      <c r="A101" s="397" t="s">
        <v>248</v>
      </c>
      <c r="B101" s="397"/>
      <c r="C101" s="397"/>
      <c r="D101" s="397"/>
      <c r="E101" s="397"/>
      <c r="F101" s="397"/>
      <c r="G101" s="397"/>
      <c r="H101" s="397"/>
      <c r="I101" s="397"/>
    </row>
    <row r="102" spans="1:9" ht="18" x14ac:dyDescent="0.2">
      <c r="A102" s="397" t="s">
        <v>97</v>
      </c>
      <c r="B102" s="397"/>
      <c r="C102" s="397"/>
      <c r="D102" s="397"/>
      <c r="E102" s="397"/>
      <c r="F102" s="397"/>
      <c r="G102" s="397"/>
      <c r="H102" s="397"/>
      <c r="I102" s="397"/>
    </row>
    <row r="103" spans="1:9" ht="18" x14ac:dyDescent="0.2">
      <c r="A103" s="397" t="s">
        <v>98</v>
      </c>
      <c r="B103" s="397"/>
      <c r="C103" s="397"/>
      <c r="D103" s="397"/>
      <c r="E103" s="397"/>
      <c r="F103" s="397"/>
      <c r="G103" s="397"/>
      <c r="H103" s="397"/>
      <c r="I103" s="397"/>
    </row>
    <row r="104" spans="1:9" ht="18" x14ac:dyDescent="0.2">
      <c r="A104" s="397" t="s">
        <v>99</v>
      </c>
      <c r="B104" s="397"/>
      <c r="C104" s="397"/>
      <c r="D104" s="397"/>
      <c r="E104" s="397"/>
      <c r="F104" s="397"/>
      <c r="G104" s="397"/>
      <c r="H104" s="397"/>
      <c r="I104" s="397"/>
    </row>
    <row r="105" spans="1:9" ht="18" x14ac:dyDescent="0.2">
      <c r="A105" s="397" t="s">
        <v>100</v>
      </c>
      <c r="B105" s="397"/>
      <c r="C105" s="397"/>
      <c r="D105" s="397"/>
      <c r="E105" s="397"/>
      <c r="F105" s="397"/>
      <c r="G105" s="397"/>
      <c r="H105" s="397"/>
      <c r="I105" s="397"/>
    </row>
    <row r="106" spans="1:9" ht="18" x14ac:dyDescent="0.2">
      <c r="A106" s="397" t="s">
        <v>101</v>
      </c>
      <c r="B106" s="397"/>
      <c r="C106" s="397"/>
      <c r="D106" s="397"/>
      <c r="E106" s="397"/>
      <c r="F106" s="397"/>
      <c r="G106" s="397"/>
      <c r="H106" s="397"/>
      <c r="I106" s="397"/>
    </row>
    <row r="107" spans="1:9" ht="42.75" customHeight="1" x14ac:dyDescent="0.2">
      <c r="A107" s="397" t="s">
        <v>249</v>
      </c>
      <c r="B107" s="397"/>
      <c r="C107" s="397"/>
      <c r="D107" s="397"/>
      <c r="E107" s="397"/>
      <c r="F107" s="397"/>
      <c r="G107" s="397"/>
      <c r="H107" s="397"/>
      <c r="I107" s="397"/>
    </row>
    <row r="108" spans="1:9" ht="18" x14ac:dyDescent="0.2">
      <c r="A108" s="397" t="s">
        <v>322</v>
      </c>
      <c r="B108" s="397"/>
      <c r="C108" s="397"/>
      <c r="D108" s="397"/>
      <c r="E108" s="397"/>
      <c r="F108" s="397"/>
      <c r="G108" s="397"/>
      <c r="H108" s="397"/>
      <c r="I108" s="397"/>
    </row>
    <row r="109" spans="1:9" ht="42" customHeight="1" x14ac:dyDescent="0.2">
      <c r="A109" s="397" t="s">
        <v>323</v>
      </c>
      <c r="B109" s="397"/>
      <c r="C109" s="397"/>
      <c r="D109" s="397"/>
      <c r="E109" s="397"/>
      <c r="F109" s="397"/>
      <c r="G109" s="397"/>
      <c r="H109" s="397"/>
      <c r="I109" s="397"/>
    </row>
    <row r="110" spans="1:9" ht="93.75" customHeight="1" x14ac:dyDescent="0.2">
      <c r="A110" s="397" t="s">
        <v>324</v>
      </c>
      <c r="B110" s="397"/>
      <c r="C110" s="397"/>
      <c r="D110" s="397"/>
      <c r="E110" s="397"/>
      <c r="F110" s="397"/>
      <c r="G110" s="397"/>
      <c r="H110" s="397"/>
      <c r="I110" s="397"/>
    </row>
    <row r="111" spans="1:9" ht="18" x14ac:dyDescent="0.2">
      <c r="A111" s="397" t="s">
        <v>102</v>
      </c>
      <c r="B111" s="397"/>
      <c r="C111" s="397"/>
      <c r="D111" s="397"/>
      <c r="E111" s="397"/>
      <c r="F111" s="397"/>
      <c r="G111" s="397"/>
      <c r="H111" s="397"/>
      <c r="I111" s="397"/>
    </row>
    <row r="112" spans="1:9" ht="18" x14ac:dyDescent="0.2">
      <c r="A112" s="397" t="s">
        <v>247</v>
      </c>
      <c r="B112" s="397"/>
      <c r="C112" s="397"/>
      <c r="D112" s="397"/>
      <c r="E112" s="397"/>
      <c r="F112" s="397"/>
      <c r="G112" s="397"/>
      <c r="H112" s="397"/>
      <c r="I112" s="397"/>
    </row>
    <row r="113" spans="1:9" ht="18" x14ac:dyDescent="0.2">
      <c r="A113" s="397" t="s">
        <v>103</v>
      </c>
      <c r="B113" s="397"/>
      <c r="C113" s="397"/>
      <c r="D113" s="397"/>
      <c r="E113" s="397"/>
      <c r="F113" s="397"/>
      <c r="G113" s="397"/>
      <c r="H113" s="397"/>
      <c r="I113" s="397"/>
    </row>
    <row r="114" spans="1:9" ht="18" x14ac:dyDescent="0.2">
      <c r="A114" s="397" t="s">
        <v>104</v>
      </c>
      <c r="B114" s="397"/>
      <c r="C114" s="397"/>
      <c r="D114" s="397"/>
      <c r="E114" s="397"/>
      <c r="F114" s="397"/>
      <c r="G114" s="397"/>
      <c r="H114" s="397"/>
      <c r="I114" s="397"/>
    </row>
    <row r="115" spans="1:9" ht="42" customHeight="1" x14ac:dyDescent="0.2">
      <c r="A115" s="397" t="s">
        <v>325</v>
      </c>
      <c r="B115" s="397"/>
      <c r="C115" s="397"/>
      <c r="D115" s="397"/>
      <c r="E115" s="397"/>
      <c r="F115" s="397"/>
      <c r="G115" s="397"/>
      <c r="H115" s="397"/>
      <c r="I115" s="397"/>
    </row>
    <row r="116" spans="1:9" ht="43.5" customHeight="1" x14ac:dyDescent="0.2">
      <c r="A116" s="397" t="s">
        <v>326</v>
      </c>
      <c r="B116" s="397"/>
      <c r="C116" s="397"/>
      <c r="D116" s="397"/>
      <c r="E116" s="397"/>
      <c r="F116" s="397"/>
      <c r="G116" s="397"/>
      <c r="H116" s="397"/>
      <c r="I116" s="397"/>
    </row>
    <row r="117" spans="1:9" ht="18" x14ac:dyDescent="0.2">
      <c r="A117" s="397" t="s">
        <v>327</v>
      </c>
      <c r="B117" s="397"/>
      <c r="C117" s="397"/>
      <c r="D117" s="397"/>
      <c r="E117" s="397"/>
      <c r="F117" s="397"/>
      <c r="G117" s="397"/>
      <c r="H117" s="397"/>
      <c r="I117" s="397"/>
    </row>
    <row r="119" spans="1:9" ht="18" x14ac:dyDescent="0.25">
      <c r="A119" s="133" t="s">
        <v>9</v>
      </c>
      <c r="B119" s="379">
        <f ca="1">TODAY()</f>
        <v>45540</v>
      </c>
      <c r="C119" s="379"/>
      <c r="D119" s="379"/>
    </row>
  </sheetData>
  <mergeCells count="46">
    <mergeCell ref="A114:I114"/>
    <mergeCell ref="A115:I115"/>
    <mergeCell ref="A116:I116"/>
    <mergeCell ref="A117:I117"/>
    <mergeCell ref="B119:D119"/>
    <mergeCell ref="A109:I109"/>
    <mergeCell ref="A110:I110"/>
    <mergeCell ref="A111:I111"/>
    <mergeCell ref="A112:I112"/>
    <mergeCell ref="A113:I113"/>
    <mergeCell ref="A104:I104"/>
    <mergeCell ref="A105:I105"/>
    <mergeCell ref="A106:I106"/>
    <mergeCell ref="A107:I107"/>
    <mergeCell ref="A108:I108"/>
    <mergeCell ref="A99:I99"/>
    <mergeCell ref="A100:I100"/>
    <mergeCell ref="A101:I101"/>
    <mergeCell ref="A102:I102"/>
    <mergeCell ref="A103:I103"/>
    <mergeCell ref="A67:G67"/>
    <mergeCell ref="B6:F6"/>
    <mergeCell ref="D8:F8"/>
    <mergeCell ref="C9:F9"/>
    <mergeCell ref="A12:F12"/>
    <mergeCell ref="A10:F10"/>
    <mergeCell ref="A11:F11"/>
    <mergeCell ref="B13:G13"/>
    <mergeCell ref="A14:F14"/>
    <mergeCell ref="A15:F15"/>
    <mergeCell ref="A1:H1"/>
    <mergeCell ref="A2:H2"/>
    <mergeCell ref="A3:H3"/>
    <mergeCell ref="A7:F7"/>
    <mergeCell ref="B98:I98"/>
    <mergeCell ref="A16:F16"/>
    <mergeCell ref="A17:F17"/>
    <mergeCell ref="A18:F18"/>
    <mergeCell ref="A19:F19"/>
    <mergeCell ref="A54:G54"/>
    <mergeCell ref="A93:I93"/>
    <mergeCell ref="A94:I94"/>
    <mergeCell ref="A95:I95"/>
    <mergeCell ref="B96:I96"/>
    <mergeCell ref="A97:I97"/>
    <mergeCell ref="A56:G56"/>
  </mergeCells>
  <hyperlinks>
    <hyperlink ref="A93:I93" location="Roteiros!A1" display="&gt;  Distância percorrida da rota - determinado conforme tabela 'Roteiros'" xr:uid="{C0ECEBD2-DE89-4D26-B0DA-2CE9706CDE49}"/>
  </hyperlinks>
  <pageMargins left="0.25" right="0.25" top="0.75" bottom="0.75" header="0.3" footer="0.3"/>
  <pageSetup paperSize="9" scale="3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E05C8-81CA-40E0-8573-F0C7D81134AC}">
  <sheetPr>
    <pageSetUpPr fitToPage="1"/>
  </sheetPr>
  <dimension ref="A1:I127"/>
  <sheetViews>
    <sheetView zoomScaleNormal="100" workbookViewId="0">
      <selection sqref="A1:H1"/>
    </sheetView>
  </sheetViews>
  <sheetFormatPr defaultRowHeight="12.75" x14ac:dyDescent="0.2"/>
  <cols>
    <col min="1" max="1" width="29.5703125" bestFit="1" customWidth="1"/>
    <col min="2" max="2" width="12.85546875" customWidth="1"/>
    <col min="3" max="3" width="8" customWidth="1"/>
    <col min="4" max="4" width="29.42578125" customWidth="1"/>
    <col min="5" max="5" width="18.42578125" customWidth="1"/>
    <col min="6" max="6" width="19.7109375" customWidth="1"/>
    <col min="7" max="7" width="15.28515625" customWidth="1"/>
    <col min="8" max="8" width="16.5703125" customWidth="1"/>
  </cols>
  <sheetData>
    <row r="1" spans="1:9" ht="16.5" thickBot="1" x14ac:dyDescent="0.3">
      <c r="A1" s="387" t="str">
        <f>'ROTA 1 - ÔNIBUS'!A1</f>
        <v>MEDIANEIRA/PR - PREGÃO ELETRÔNICO 67/2024</v>
      </c>
      <c r="B1" s="388"/>
      <c r="C1" s="388"/>
      <c r="D1" s="388"/>
      <c r="E1" s="388"/>
      <c r="F1" s="388"/>
      <c r="G1" s="388"/>
      <c r="H1" s="389"/>
    </row>
    <row r="2" spans="1:9" ht="13.5" thickBot="1" x14ac:dyDescent="0.25">
      <c r="A2" s="390" t="s">
        <v>316</v>
      </c>
      <c r="B2" s="391"/>
      <c r="C2" s="391"/>
      <c r="D2" s="391"/>
      <c r="E2" s="391"/>
      <c r="F2" s="391"/>
      <c r="G2" s="391"/>
      <c r="H2" s="392"/>
    </row>
    <row r="3" spans="1:9" ht="15.75" thickBot="1" x14ac:dyDescent="0.25">
      <c r="A3" s="393" t="s">
        <v>1</v>
      </c>
      <c r="B3" s="388"/>
      <c r="C3" s="388"/>
      <c r="D3" s="388"/>
      <c r="E3" s="388"/>
      <c r="F3" s="388"/>
      <c r="G3" s="388"/>
      <c r="H3" s="389"/>
    </row>
    <row r="4" spans="1:9" ht="16.5" thickBot="1" x14ac:dyDescent="0.3">
      <c r="A4" s="11"/>
      <c r="B4" s="11"/>
      <c r="C4" s="11"/>
      <c r="D4" s="11"/>
      <c r="E4" s="11"/>
      <c r="F4" s="11"/>
      <c r="G4" s="11"/>
      <c r="H4" s="2"/>
    </row>
    <row r="5" spans="1:9" ht="16.5" thickBot="1" x14ac:dyDescent="0.3">
      <c r="A5" s="319" t="s">
        <v>10</v>
      </c>
      <c r="B5" s="320"/>
      <c r="C5" s="320"/>
      <c r="D5" s="320"/>
      <c r="E5" s="320"/>
      <c r="F5" s="320"/>
      <c r="G5" s="321"/>
      <c r="H5" s="2"/>
    </row>
    <row r="6" spans="1:9" ht="15.75" x14ac:dyDescent="0.25">
      <c r="A6" s="308" t="s">
        <v>12</v>
      </c>
      <c r="B6" s="413"/>
      <c r="C6" s="414"/>
      <c r="D6" s="414"/>
      <c r="E6" s="414"/>
      <c r="F6" s="415"/>
      <c r="G6" s="309">
        <v>55</v>
      </c>
      <c r="H6" s="248"/>
      <c r="I6" s="248"/>
    </row>
    <row r="7" spans="1:9" ht="15.75" x14ac:dyDescent="0.25">
      <c r="A7" s="394" t="s">
        <v>250</v>
      </c>
      <c r="B7" s="395"/>
      <c r="C7" s="395"/>
      <c r="D7" s="395"/>
      <c r="E7" s="395"/>
      <c r="F7" s="396"/>
      <c r="G7" s="272">
        <f>G6</f>
        <v>55</v>
      </c>
      <c r="H7" s="248"/>
      <c r="I7" s="248"/>
    </row>
    <row r="8" spans="1:9" ht="15.75" x14ac:dyDescent="0.25">
      <c r="A8" s="310" t="s">
        <v>13</v>
      </c>
      <c r="B8" s="13">
        <f>G7/30</f>
        <v>1.8333333333333333</v>
      </c>
      <c r="C8" s="14" t="s">
        <v>14</v>
      </c>
      <c r="D8" s="416"/>
      <c r="E8" s="417"/>
      <c r="F8" s="418"/>
      <c r="G8" s="311" t="s">
        <v>15</v>
      </c>
      <c r="H8" s="248"/>
      <c r="I8" s="248"/>
    </row>
    <row r="9" spans="1:9" ht="15.75" x14ac:dyDescent="0.25">
      <c r="A9" s="310" t="s">
        <v>16</v>
      </c>
      <c r="B9" s="14">
        <v>1.5</v>
      </c>
      <c r="C9" s="416"/>
      <c r="D9" s="417"/>
      <c r="E9" s="417"/>
      <c r="F9" s="418"/>
      <c r="G9" s="312">
        <f>SUM(B9:F9)</f>
        <v>1.5</v>
      </c>
      <c r="H9" s="248"/>
      <c r="I9" s="248"/>
    </row>
    <row r="10" spans="1:9" ht="15.75" x14ac:dyDescent="0.25">
      <c r="A10" s="394" t="s">
        <v>254</v>
      </c>
      <c r="B10" s="395"/>
      <c r="C10" s="395"/>
      <c r="D10" s="395"/>
      <c r="E10" s="395"/>
      <c r="F10" s="396"/>
      <c r="G10" s="312">
        <v>1</v>
      </c>
      <c r="H10" s="3"/>
    </row>
    <row r="11" spans="1:9" ht="15.75" x14ac:dyDescent="0.25">
      <c r="A11" s="394" t="s">
        <v>17</v>
      </c>
      <c r="B11" s="395"/>
      <c r="C11" s="395"/>
      <c r="D11" s="395"/>
      <c r="E11" s="395"/>
      <c r="F11" s="396"/>
      <c r="G11" s="272">
        <f>(G10+G9)</f>
        <v>2.5</v>
      </c>
      <c r="H11" s="3"/>
    </row>
    <row r="12" spans="1:9" ht="15.75" x14ac:dyDescent="0.25">
      <c r="A12" s="313" t="s">
        <v>18</v>
      </c>
      <c r="B12" s="422" t="s">
        <v>320</v>
      </c>
      <c r="C12" s="395"/>
      <c r="D12" s="395"/>
      <c r="E12" s="395"/>
      <c r="F12" s="395"/>
      <c r="G12" s="423"/>
      <c r="H12" s="16"/>
    </row>
    <row r="13" spans="1:9" ht="15.75" x14ac:dyDescent="0.25">
      <c r="A13" s="394" t="s">
        <v>253</v>
      </c>
      <c r="B13" s="395"/>
      <c r="C13" s="395"/>
      <c r="D13" s="395"/>
      <c r="E13" s="395"/>
      <c r="F13" s="396"/>
      <c r="G13" s="314">
        <f>'Pesquisas de preços'!H30</f>
        <v>137943</v>
      </c>
      <c r="H13" s="9"/>
    </row>
    <row r="14" spans="1:9" ht="15.75" x14ac:dyDescent="0.25">
      <c r="A14" s="394" t="s">
        <v>19</v>
      </c>
      <c r="B14" s="395"/>
      <c r="C14" s="395"/>
      <c r="D14" s="395"/>
      <c r="E14" s="395"/>
      <c r="F14" s="396"/>
      <c r="G14" s="315">
        <f>'Pesquisas de preços'!$B$15</f>
        <v>6.4550000000000001</v>
      </c>
      <c r="H14" s="9"/>
    </row>
    <row r="15" spans="1:9" ht="15.75" x14ac:dyDescent="0.25">
      <c r="A15" s="394" t="s">
        <v>20</v>
      </c>
      <c r="B15" s="398"/>
      <c r="C15" s="398"/>
      <c r="D15" s="398"/>
      <c r="E15" s="398"/>
      <c r="F15" s="399"/>
      <c r="G15" s="315">
        <v>4</v>
      </c>
      <c r="H15" s="3"/>
    </row>
    <row r="16" spans="1:9" ht="15.75" x14ac:dyDescent="0.25">
      <c r="A16" s="394" t="s">
        <v>21</v>
      </c>
      <c r="B16" s="395"/>
      <c r="C16" s="395"/>
      <c r="D16" s="395"/>
      <c r="E16" s="395"/>
      <c r="F16" s="396"/>
      <c r="G16" s="316">
        <v>0.7</v>
      </c>
      <c r="H16" s="3"/>
    </row>
    <row r="17" spans="1:8" ht="15.75" x14ac:dyDescent="0.25">
      <c r="A17" s="394" t="s">
        <v>252</v>
      </c>
      <c r="B17" s="395"/>
      <c r="C17" s="395"/>
      <c r="D17" s="395"/>
      <c r="E17" s="395"/>
      <c r="F17" s="396"/>
      <c r="G17" s="317">
        <v>4</v>
      </c>
      <c r="H17" s="3"/>
    </row>
    <row r="18" spans="1:8" ht="16.5" thickBot="1" x14ac:dyDescent="0.3">
      <c r="A18" s="400" t="s">
        <v>22</v>
      </c>
      <c r="B18" s="401"/>
      <c r="C18" s="401"/>
      <c r="D18" s="401"/>
      <c r="E18" s="401"/>
      <c r="F18" s="402"/>
      <c r="G18" s="318">
        <f>G17*G7</f>
        <v>220</v>
      </c>
      <c r="H18" s="3"/>
    </row>
    <row r="19" spans="1:8" ht="15.75" thickBot="1" x14ac:dyDescent="0.25">
      <c r="A19" s="3"/>
      <c r="B19" s="3"/>
      <c r="C19" s="3"/>
      <c r="D19" s="3"/>
      <c r="E19" s="3"/>
      <c r="F19" s="3"/>
      <c r="G19" s="3"/>
      <c r="H19" s="3"/>
    </row>
    <row r="20" spans="1:8" ht="15.75" x14ac:dyDescent="0.25">
      <c r="A20" s="322" t="s">
        <v>23</v>
      </c>
      <c r="B20" s="323" t="s">
        <v>24</v>
      </c>
      <c r="C20" s="2"/>
      <c r="D20" s="294" t="s">
        <v>25</v>
      </c>
      <c r="E20" s="295"/>
      <c r="F20" s="295"/>
      <c r="G20" s="296"/>
      <c r="H20" s="297"/>
    </row>
    <row r="21" spans="1:8" ht="16.5" thickBot="1" x14ac:dyDescent="0.3">
      <c r="A21" s="313" t="s">
        <v>26</v>
      </c>
      <c r="B21" s="324">
        <f>(G17*G7*G14)/G15</f>
        <v>355.02499999999998</v>
      </c>
      <c r="C21" s="20"/>
      <c r="D21" s="21" t="s">
        <v>27</v>
      </c>
      <c r="E21" s="22" t="s">
        <v>28</v>
      </c>
      <c r="F21" s="22" t="s">
        <v>29</v>
      </c>
      <c r="G21" s="23" t="s">
        <v>30</v>
      </c>
      <c r="H21" s="298" t="s">
        <v>31</v>
      </c>
    </row>
    <row r="22" spans="1:8" ht="15.75" x14ac:dyDescent="0.25">
      <c r="A22" s="313" t="s">
        <v>32</v>
      </c>
      <c r="B22" s="324">
        <f>G16*G18</f>
        <v>154</v>
      </c>
      <c r="C22" s="20"/>
      <c r="D22" s="299" t="s">
        <v>33</v>
      </c>
      <c r="E22" s="24" t="s">
        <v>34</v>
      </c>
      <c r="F22" s="25">
        <v>6</v>
      </c>
      <c r="G22" s="26">
        <v>986.67</v>
      </c>
      <c r="H22" s="300">
        <f>F22*G22</f>
        <v>5920.0199999999995</v>
      </c>
    </row>
    <row r="23" spans="1:8" ht="15.75" x14ac:dyDescent="0.25">
      <c r="A23" s="313" t="str">
        <f>D20</f>
        <v>1.3 Pneus</v>
      </c>
      <c r="B23" s="324">
        <f>H26</f>
        <v>17.365392</v>
      </c>
      <c r="C23" s="3"/>
      <c r="D23" s="299" t="s">
        <v>35</v>
      </c>
      <c r="E23" s="24" t="s">
        <v>34</v>
      </c>
      <c r="F23" s="24"/>
      <c r="G23" s="27"/>
      <c r="H23" s="300"/>
    </row>
    <row r="24" spans="1:8" ht="15.75" x14ac:dyDescent="0.25">
      <c r="A24" s="273"/>
      <c r="B24" s="311"/>
      <c r="C24" s="1"/>
      <c r="D24" s="299" t="s">
        <v>36</v>
      </c>
      <c r="E24" s="24" t="s">
        <v>34</v>
      </c>
      <c r="F24" s="28">
        <f>F22*F23</f>
        <v>0</v>
      </c>
      <c r="G24" s="26"/>
      <c r="H24" s="300">
        <f>F24*G24</f>
        <v>0</v>
      </c>
    </row>
    <row r="25" spans="1:8" ht="16.5" thickBot="1" x14ac:dyDescent="0.3">
      <c r="A25" s="325" t="s">
        <v>37</v>
      </c>
      <c r="B25" s="326">
        <f>SUM(B21:B24)</f>
        <v>526.39039200000002</v>
      </c>
      <c r="C25" s="1"/>
      <c r="D25" s="301" t="s">
        <v>38</v>
      </c>
      <c r="E25" s="30" t="s">
        <v>39</v>
      </c>
      <c r="F25" s="31">
        <v>75000</v>
      </c>
      <c r="G25" s="32">
        <f>H22+H24</f>
        <v>5920.0199999999995</v>
      </c>
      <c r="H25" s="302">
        <f>IFERROR(G25/F25,"-")</f>
        <v>7.8933599999999993E-2</v>
      </c>
    </row>
    <row r="26" spans="1:8" ht="16.5" thickBot="1" x14ac:dyDescent="0.3">
      <c r="A26" s="2"/>
      <c r="B26" s="1"/>
      <c r="C26" s="1"/>
      <c r="D26" s="303" t="s">
        <v>40</v>
      </c>
      <c r="E26" s="304" t="s">
        <v>41</v>
      </c>
      <c r="F26" s="305">
        <f>G18</f>
        <v>220</v>
      </c>
      <c r="G26" s="306">
        <f>H25</f>
        <v>7.8933599999999993E-2</v>
      </c>
      <c r="H26" s="307">
        <f>IFERROR(F26*G26,0)</f>
        <v>17.365392</v>
      </c>
    </row>
    <row r="27" spans="1:8" ht="16.5" thickBot="1" x14ac:dyDescent="0.3">
      <c r="A27" s="2"/>
      <c r="B27" s="3"/>
      <c r="C27" s="3"/>
      <c r="D27" s="3"/>
      <c r="E27" s="3"/>
      <c r="F27" s="3"/>
      <c r="G27" s="3"/>
      <c r="H27" s="3"/>
    </row>
    <row r="28" spans="1:8" ht="16.5" thickBot="1" x14ac:dyDescent="0.3">
      <c r="A28" s="291" t="s">
        <v>42</v>
      </c>
      <c r="B28" s="292"/>
      <c r="C28" s="292"/>
      <c r="D28" s="292"/>
      <c r="E28" s="292"/>
      <c r="F28" s="292"/>
      <c r="G28" s="292"/>
      <c r="H28" s="293"/>
    </row>
    <row r="29" spans="1:8" ht="15.75" x14ac:dyDescent="0.25">
      <c r="A29" s="327" t="s">
        <v>43</v>
      </c>
      <c r="B29" s="328">
        <f>G47*0.0925</f>
        <v>12759.727499999999</v>
      </c>
      <c r="C29" s="3"/>
      <c r="D29" s="281" t="s">
        <v>44</v>
      </c>
      <c r="E29" s="33" t="s">
        <v>45</v>
      </c>
      <c r="F29" s="33" t="s">
        <v>46</v>
      </c>
      <c r="G29" s="33" t="s">
        <v>47</v>
      </c>
      <c r="H29" s="282" t="s">
        <v>11</v>
      </c>
    </row>
    <row r="30" spans="1:8" ht="15.75" x14ac:dyDescent="0.25">
      <c r="A30" s="274" t="s">
        <v>48</v>
      </c>
      <c r="B30" s="329">
        <v>0</v>
      </c>
      <c r="C30" s="3"/>
      <c r="D30" s="271">
        <f>'Pesquisas de preços'!C46</f>
        <v>2440</v>
      </c>
      <c r="E30" s="35">
        <f>'Encargos Sociais'!C32</f>
        <v>0.66401660000000007</v>
      </c>
      <c r="F30" s="36">
        <f>(D30*E30)+D30</f>
        <v>4060.2005040000004</v>
      </c>
      <c r="G30" s="37">
        <v>11.2</v>
      </c>
      <c r="H30" s="272">
        <f>F30*G30</f>
        <v>45474.245644800001</v>
      </c>
    </row>
    <row r="31" spans="1:8" ht="15.75" x14ac:dyDescent="0.25">
      <c r="A31" s="274" t="s">
        <v>49</v>
      </c>
      <c r="B31" s="329">
        <v>85.22</v>
      </c>
      <c r="C31" s="3"/>
      <c r="D31" s="273" t="s">
        <v>50</v>
      </c>
      <c r="E31" s="5" t="s">
        <v>51</v>
      </c>
      <c r="F31" s="5" t="s">
        <v>46</v>
      </c>
      <c r="G31" s="5" t="s">
        <v>47</v>
      </c>
      <c r="H31" s="275" t="s">
        <v>11</v>
      </c>
    </row>
    <row r="32" spans="1:8" ht="15.75" x14ac:dyDescent="0.25">
      <c r="A32" s="274" t="s">
        <v>52</v>
      </c>
      <c r="B32" s="329">
        <v>300</v>
      </c>
      <c r="C32" s="3"/>
      <c r="D32" s="274">
        <f>'Pesquisas de preços'!C48</f>
        <v>512</v>
      </c>
      <c r="E32" s="38">
        <v>4</v>
      </c>
      <c r="F32" s="39">
        <f>(D32/20)*E32</f>
        <v>102.4</v>
      </c>
      <c r="G32" s="40">
        <v>10</v>
      </c>
      <c r="H32" s="272">
        <f>F32*G32</f>
        <v>1024</v>
      </c>
    </row>
    <row r="33" spans="1:8" ht="15.75" x14ac:dyDescent="0.25">
      <c r="A33" s="274" t="s">
        <v>53</v>
      </c>
      <c r="B33" s="329">
        <f>H51</f>
        <v>6569.5169826000001</v>
      </c>
      <c r="C33" s="3"/>
      <c r="D33" s="273" t="s">
        <v>54</v>
      </c>
      <c r="E33" s="5" t="s">
        <v>51</v>
      </c>
      <c r="F33" s="5" t="s">
        <v>46</v>
      </c>
      <c r="G33" s="5" t="s">
        <v>47</v>
      </c>
      <c r="H33" s="275" t="s">
        <v>11</v>
      </c>
    </row>
    <row r="34" spans="1:8" ht="15.75" x14ac:dyDescent="0.25">
      <c r="A34" s="274" t="s">
        <v>55</v>
      </c>
      <c r="B34" s="329">
        <v>1450</v>
      </c>
      <c r="C34" s="3"/>
      <c r="D34" s="274">
        <f>128.68*0.8</f>
        <v>102.94400000000002</v>
      </c>
      <c r="E34" s="38">
        <v>4</v>
      </c>
      <c r="F34" s="39">
        <f>(D34/20)*E34</f>
        <v>20.588800000000003</v>
      </c>
      <c r="G34" s="40">
        <v>10</v>
      </c>
      <c r="H34" s="272">
        <f>F34*G34</f>
        <v>205.88800000000003</v>
      </c>
    </row>
    <row r="35" spans="1:8" ht="16.5" thickBot="1" x14ac:dyDescent="0.3">
      <c r="A35" s="274" t="s">
        <v>56</v>
      </c>
      <c r="B35" s="330">
        <v>1</v>
      </c>
      <c r="C35" s="3"/>
      <c r="D35" s="276" t="s">
        <v>57</v>
      </c>
      <c r="E35" s="277"/>
      <c r="F35" s="278"/>
      <c r="G35" s="279"/>
      <c r="H35" s="280">
        <f>H30+H32+H34</f>
        <v>46704.1336448</v>
      </c>
    </row>
    <row r="36" spans="1:8" ht="15" x14ac:dyDescent="0.2">
      <c r="A36" s="274" t="s">
        <v>58</v>
      </c>
      <c r="B36" s="329">
        <f>H35*B35</f>
        <v>46704.1336448</v>
      </c>
      <c r="C36" s="3"/>
      <c r="D36" s="3"/>
      <c r="E36" s="34"/>
      <c r="F36" s="34"/>
      <c r="G36" s="34"/>
      <c r="H36" s="34"/>
    </row>
    <row r="37" spans="1:8" ht="15.75" x14ac:dyDescent="0.25">
      <c r="A37" s="274"/>
      <c r="B37" s="330"/>
      <c r="C37" s="3"/>
      <c r="D37" s="2"/>
      <c r="E37" s="2"/>
      <c r="F37" s="2"/>
      <c r="G37" s="2"/>
      <c r="H37" s="2"/>
    </row>
    <row r="38" spans="1:8" ht="15.75" x14ac:dyDescent="0.25">
      <c r="A38" s="274"/>
      <c r="B38" s="329"/>
      <c r="C38" s="3"/>
      <c r="D38" s="370"/>
      <c r="E38" s="371"/>
      <c r="F38" s="372"/>
      <c r="G38" s="373"/>
      <c r="H38" s="374"/>
    </row>
    <row r="39" spans="1:8" ht="15.75" x14ac:dyDescent="0.25">
      <c r="A39" s="313" t="s">
        <v>59</v>
      </c>
      <c r="B39" s="311">
        <f>SUM(B29:B34)+(B36)+(B38)</f>
        <v>67868.598127400008</v>
      </c>
      <c r="C39" s="3"/>
      <c r="D39" s="2"/>
      <c r="E39" s="2"/>
      <c r="F39" s="2"/>
      <c r="G39" s="2"/>
      <c r="H39" s="2"/>
    </row>
    <row r="40" spans="1:8" ht="15.75" x14ac:dyDescent="0.25">
      <c r="A40" s="313" t="s">
        <v>61</v>
      </c>
      <c r="B40" s="311">
        <f>B39/10*B41</f>
        <v>1928.085174073864</v>
      </c>
      <c r="C40" s="3"/>
      <c r="D40" s="3"/>
      <c r="E40" s="375"/>
      <c r="F40" s="376"/>
      <c r="G40" s="377"/>
      <c r="H40" s="374"/>
    </row>
    <row r="41" spans="1:8" ht="16.5" thickBot="1" x14ac:dyDescent="0.3">
      <c r="A41" s="331" t="s">
        <v>62</v>
      </c>
      <c r="B41" s="332">
        <f>((G11*5)/44)</f>
        <v>0.28409090909090912</v>
      </c>
      <c r="C41" s="3"/>
      <c r="D41" s="2"/>
      <c r="E41" s="2"/>
      <c r="F41" s="2"/>
      <c r="G41" s="2"/>
      <c r="H41" s="2"/>
    </row>
    <row r="42" spans="1:8" ht="15.75" x14ac:dyDescent="0.25">
      <c r="A42" s="3"/>
      <c r="B42" s="3"/>
      <c r="C42" s="3"/>
      <c r="D42" s="3"/>
      <c r="E42" s="375"/>
      <c r="F42" s="376"/>
      <c r="G42" s="377"/>
      <c r="H42" s="374"/>
    </row>
    <row r="43" spans="1:8" ht="15.75" x14ac:dyDescent="0.25">
      <c r="A43" s="3"/>
      <c r="B43" s="3"/>
      <c r="C43" s="3"/>
      <c r="D43" s="12"/>
      <c r="E43" s="375"/>
      <c r="F43" s="378"/>
      <c r="G43" s="377"/>
      <c r="H43" s="374"/>
    </row>
    <row r="44" spans="1:8" ht="15.75" thickBot="1" x14ac:dyDescent="0.25">
      <c r="A44" s="3"/>
      <c r="B44" s="3"/>
      <c r="C44" s="3"/>
      <c r="D44" s="3"/>
      <c r="E44" s="34"/>
      <c r="F44" s="34"/>
      <c r="G44" s="34"/>
      <c r="H44" s="34"/>
    </row>
    <row r="45" spans="1:8" ht="16.5" thickBot="1" x14ac:dyDescent="0.25">
      <c r="C45" s="3"/>
      <c r="D45" s="41" t="s">
        <v>60</v>
      </c>
      <c r="E45" s="42"/>
      <c r="F45" s="42"/>
      <c r="G45" s="3"/>
      <c r="H45" s="3"/>
    </row>
    <row r="46" spans="1:8" ht="15.75" thickBot="1" x14ac:dyDescent="0.25">
      <c r="C46" s="3"/>
      <c r="D46" s="134" t="s">
        <v>27</v>
      </c>
      <c r="E46" s="43" t="s">
        <v>28</v>
      </c>
      <c r="F46" s="43" t="s">
        <v>29</v>
      </c>
      <c r="G46" s="44" t="s">
        <v>30</v>
      </c>
      <c r="H46" s="283" t="s">
        <v>31</v>
      </c>
    </row>
    <row r="47" spans="1:8" ht="15.75" x14ac:dyDescent="0.25">
      <c r="C47" s="1"/>
      <c r="D47" s="284" t="s">
        <v>63</v>
      </c>
      <c r="E47" s="45" t="s">
        <v>34</v>
      </c>
      <c r="F47" s="46">
        <v>1</v>
      </c>
      <c r="G47" s="47">
        <f>G13</f>
        <v>137943</v>
      </c>
      <c r="H47" s="286">
        <f>SUM((F47*G47)*0.01)+G47</f>
        <v>139322.43</v>
      </c>
    </row>
    <row r="48" spans="1:8" ht="15.75" x14ac:dyDescent="0.25">
      <c r="C48" s="1"/>
      <c r="D48" s="285" t="s">
        <v>64</v>
      </c>
      <c r="E48" s="49" t="s">
        <v>65</v>
      </c>
      <c r="F48" s="50">
        <v>15</v>
      </c>
      <c r="G48" s="51"/>
      <c r="H48" s="286"/>
    </row>
    <row r="49" spans="1:8" ht="15.75" x14ac:dyDescent="0.25">
      <c r="C49" s="52"/>
      <c r="D49" s="285" t="s">
        <v>66</v>
      </c>
      <c r="E49" s="49" t="s">
        <v>65</v>
      </c>
      <c r="F49" s="53">
        <v>0</v>
      </c>
      <c r="G49" s="51"/>
      <c r="H49" s="286"/>
    </row>
    <row r="50" spans="1:8" ht="15" x14ac:dyDescent="0.2">
      <c r="A50" s="34"/>
      <c r="B50" s="34"/>
      <c r="C50" s="34"/>
      <c r="D50" s="285" t="s">
        <v>67</v>
      </c>
      <c r="E50" s="49" t="s">
        <v>68</v>
      </c>
      <c r="F50" s="54">
        <f>Depreciação!B17</f>
        <v>70.73</v>
      </c>
      <c r="G50" s="51">
        <f>H47</f>
        <v>139322.43</v>
      </c>
      <c r="H50" s="286">
        <f>F50*G50/100</f>
        <v>98542.754738999996</v>
      </c>
    </row>
    <row r="51" spans="1:8" ht="16.5" thickBot="1" x14ac:dyDescent="0.25">
      <c r="A51" s="3"/>
      <c r="B51" s="3"/>
      <c r="C51" s="3"/>
      <c r="D51" s="287" t="s">
        <v>69</v>
      </c>
      <c r="E51" s="288" t="s">
        <v>70</v>
      </c>
      <c r="F51" s="289">
        <f>F48*12</f>
        <v>180</v>
      </c>
      <c r="G51" s="333">
        <f>IF(F49&lt;=F48,H50,0)</f>
        <v>98542.754738999996</v>
      </c>
      <c r="H51" s="290">
        <f>IFERROR(G51/F51,0)*12</f>
        <v>6569.5169826000001</v>
      </c>
    </row>
    <row r="52" spans="1:8" ht="15" x14ac:dyDescent="0.2">
      <c r="A52" s="3"/>
      <c r="B52" s="3"/>
      <c r="C52" s="3"/>
      <c r="D52" s="3"/>
      <c r="E52" s="3"/>
      <c r="F52" s="34"/>
      <c r="G52" s="34"/>
      <c r="H52" s="34"/>
    </row>
    <row r="53" spans="1:8" ht="15.75" x14ac:dyDescent="0.25">
      <c r="A53" s="403" t="s">
        <v>71</v>
      </c>
      <c r="B53" s="404"/>
      <c r="C53" s="404"/>
      <c r="D53" s="404"/>
      <c r="E53" s="404"/>
      <c r="F53" s="404"/>
      <c r="G53" s="405"/>
      <c r="H53" s="15">
        <f>($B$40+$B$25)</f>
        <v>2454.4755660738638</v>
      </c>
    </row>
    <row r="54" spans="1:8" x14ac:dyDescent="0.2">
      <c r="A54" s="55"/>
      <c r="B54" s="55"/>
      <c r="C54" s="55"/>
      <c r="D54" s="55"/>
      <c r="E54" s="55"/>
      <c r="F54" s="56"/>
      <c r="G54" s="56"/>
      <c r="H54" s="56"/>
    </row>
    <row r="55" spans="1:8" ht="16.5" thickBot="1" x14ac:dyDescent="0.3">
      <c r="A55" s="407" t="s">
        <v>72</v>
      </c>
      <c r="B55" s="408"/>
      <c r="C55" s="408"/>
      <c r="D55" s="408"/>
      <c r="E55" s="408"/>
      <c r="F55" s="408"/>
      <c r="G55" s="409"/>
      <c r="H55" s="56"/>
    </row>
    <row r="56" spans="1:8" ht="16.5" thickBot="1" x14ac:dyDescent="0.25">
      <c r="A56" s="57" t="s">
        <v>27</v>
      </c>
      <c r="B56" s="58" t="s">
        <v>28</v>
      </c>
      <c r="C56" s="58"/>
      <c r="D56" s="58" t="s">
        <v>29</v>
      </c>
      <c r="E56" s="59" t="s">
        <v>30</v>
      </c>
      <c r="F56" s="59" t="s">
        <v>31</v>
      </c>
      <c r="G56" s="60" t="s">
        <v>73</v>
      </c>
      <c r="H56" s="34"/>
    </row>
    <row r="57" spans="1:8" ht="16.5" thickBot="1" x14ac:dyDescent="0.25">
      <c r="A57" s="62" t="s">
        <v>74</v>
      </c>
      <c r="B57" s="24" t="s">
        <v>68</v>
      </c>
      <c r="C57" s="24"/>
      <c r="D57" s="63">
        <f>BDI!C14</f>
        <v>0.20219999999999999</v>
      </c>
      <c r="E57" s="48">
        <f>H53</f>
        <v>2454.4755660738638</v>
      </c>
      <c r="F57" s="48">
        <f>D57*E57/1</f>
        <v>496.29495946013526</v>
      </c>
      <c r="G57" s="64"/>
      <c r="H57" s="3"/>
    </row>
    <row r="58" spans="1:8" ht="16.5" thickBot="1" x14ac:dyDescent="0.25">
      <c r="A58" s="65" t="s">
        <v>75</v>
      </c>
      <c r="B58" s="29"/>
      <c r="C58" s="29"/>
      <c r="D58" s="65"/>
      <c r="E58" s="66"/>
      <c r="F58" s="67"/>
      <c r="G58" s="68">
        <f>+F57</f>
        <v>496.29495946013526</v>
      </c>
      <c r="H58" s="3"/>
    </row>
    <row r="59" spans="1:8" ht="15.75" thickBot="1" x14ac:dyDescent="0.25">
      <c r="A59" s="55"/>
      <c r="B59" s="55"/>
      <c r="C59" s="55"/>
      <c r="D59" s="69"/>
      <c r="E59" s="69"/>
      <c r="F59" s="64"/>
      <c r="G59" s="64"/>
      <c r="H59" s="64"/>
    </row>
    <row r="60" spans="1:8" ht="16.5" thickBot="1" x14ac:dyDescent="0.25">
      <c r="A60" s="70" t="s">
        <v>76</v>
      </c>
      <c r="B60" s="71"/>
      <c r="C60" s="71"/>
      <c r="D60" s="72"/>
      <c r="E60" s="72"/>
      <c r="F60" s="73"/>
      <c r="G60" s="74"/>
      <c r="H60" s="75">
        <f>G58</f>
        <v>496.29495946013526</v>
      </c>
    </row>
    <row r="61" spans="1:8" ht="13.5" thickBot="1" x14ac:dyDescent="0.25">
      <c r="A61" s="55"/>
      <c r="B61" s="55"/>
      <c r="C61" s="55"/>
      <c r="D61" s="55"/>
      <c r="E61" s="55"/>
      <c r="F61" s="56"/>
      <c r="G61" s="56"/>
      <c r="H61" s="56"/>
    </row>
    <row r="62" spans="1:8" ht="16.5" thickBot="1" x14ac:dyDescent="0.25">
      <c r="A62" s="70" t="s">
        <v>318</v>
      </c>
      <c r="B62" s="71"/>
      <c r="C62" s="71"/>
      <c r="D62" s="71"/>
      <c r="E62" s="71"/>
      <c r="F62" s="76"/>
      <c r="G62" s="77"/>
      <c r="H62" s="78">
        <f>H53+H60</f>
        <v>2950.7705255339988</v>
      </c>
    </row>
    <row r="63" spans="1:8" ht="15.75" thickBot="1" x14ac:dyDescent="0.25">
      <c r="A63" s="3"/>
      <c r="B63" s="3"/>
      <c r="C63" s="3"/>
      <c r="D63" s="3"/>
      <c r="E63" s="3"/>
      <c r="F63" s="34"/>
      <c r="G63" s="34"/>
      <c r="H63" s="3"/>
    </row>
    <row r="64" spans="1:8" ht="16.5" thickBot="1" x14ac:dyDescent="0.3">
      <c r="A64" s="79" t="s">
        <v>77</v>
      </c>
      <c r="B64" s="80"/>
      <c r="C64" s="80"/>
      <c r="D64" s="80"/>
      <c r="E64" s="80"/>
      <c r="F64" s="80"/>
      <c r="G64" s="80"/>
      <c r="H64" s="81">
        <f>H62/(G7*G17)</f>
        <v>13.412593297881813</v>
      </c>
    </row>
    <row r="65" spans="1:8" ht="15.75" thickBot="1" x14ac:dyDescent="0.25">
      <c r="A65" s="3"/>
      <c r="B65" s="3"/>
      <c r="C65" s="3"/>
      <c r="D65" s="3"/>
      <c r="E65" s="3"/>
      <c r="F65" s="3"/>
      <c r="G65" s="3"/>
      <c r="H65" s="3"/>
    </row>
    <row r="66" spans="1:8" ht="18" x14ac:dyDescent="0.2">
      <c r="A66" s="410" t="s">
        <v>78</v>
      </c>
      <c r="B66" s="411"/>
      <c r="C66" s="411"/>
      <c r="D66" s="411"/>
      <c r="E66" s="411"/>
      <c r="F66" s="411"/>
      <c r="G66" s="412"/>
      <c r="H66" s="3"/>
    </row>
    <row r="67" spans="1:8" ht="18" x14ac:dyDescent="0.2">
      <c r="A67" s="82" t="s">
        <v>79</v>
      </c>
      <c r="B67" s="83"/>
      <c r="C67" s="83"/>
      <c r="D67" s="83"/>
      <c r="E67" s="84"/>
      <c r="F67" s="85" t="s">
        <v>80</v>
      </c>
      <c r="G67" s="86" t="s">
        <v>68</v>
      </c>
      <c r="H67" s="3"/>
    </row>
    <row r="68" spans="1:8" ht="18" x14ac:dyDescent="0.2">
      <c r="A68" s="87" t="str">
        <f>A20</f>
        <v>1- CUSTO VARIÁVEL</v>
      </c>
      <c r="B68" s="88"/>
      <c r="C68" s="88"/>
      <c r="D68" s="88"/>
      <c r="E68" s="89"/>
      <c r="F68" s="84">
        <f>SUM(F69:F71)</f>
        <v>526.39039200000002</v>
      </c>
      <c r="G68" s="90">
        <f t="shared" ref="G68:G74" si="0">F68/$F$77</f>
        <v>0.17839082620792396</v>
      </c>
      <c r="H68" s="3"/>
    </row>
    <row r="69" spans="1:8" ht="18" x14ac:dyDescent="0.2">
      <c r="A69" s="91" t="str">
        <f>A21</f>
        <v xml:space="preserve">1.1 Combustível </v>
      </c>
      <c r="B69" s="83"/>
      <c r="C69" s="83"/>
      <c r="D69" s="83"/>
      <c r="E69" s="92"/>
      <c r="F69" s="92">
        <f>B21</f>
        <v>355.02499999999998</v>
      </c>
      <c r="G69" s="93">
        <f t="shared" si="0"/>
        <v>0.12031603166964376</v>
      </c>
      <c r="H69" s="3"/>
    </row>
    <row r="70" spans="1:8" ht="18" x14ac:dyDescent="0.2">
      <c r="A70" s="94" t="str">
        <f>A22</f>
        <v xml:space="preserve">1.2 Manutenção e insumos </v>
      </c>
      <c r="B70" s="95"/>
      <c r="C70" s="95"/>
      <c r="D70" s="95"/>
      <c r="E70" s="96"/>
      <c r="F70" s="97">
        <f>B22</f>
        <v>154</v>
      </c>
      <c r="G70" s="93">
        <f t="shared" si="0"/>
        <v>5.218975812161155E-2</v>
      </c>
      <c r="H70" s="3"/>
    </row>
    <row r="71" spans="1:8" ht="18" x14ac:dyDescent="0.2">
      <c r="A71" s="94" t="str">
        <f>A23</f>
        <v>1.3 Pneus</v>
      </c>
      <c r="B71" s="95"/>
      <c r="C71" s="95"/>
      <c r="D71" s="95"/>
      <c r="E71" s="96"/>
      <c r="F71" s="92">
        <f>B23</f>
        <v>17.365392</v>
      </c>
      <c r="G71" s="93">
        <f t="shared" si="0"/>
        <v>5.8850364166686247E-3</v>
      </c>
      <c r="H71" s="3"/>
    </row>
    <row r="72" spans="1:8" ht="18" x14ac:dyDescent="0.2">
      <c r="A72" s="98" t="str">
        <f>A28</f>
        <v xml:space="preserve">2 - TOTAL CUSTO FIXO MENSAL </v>
      </c>
      <c r="B72" s="95"/>
      <c r="C72" s="95"/>
      <c r="D72" s="95"/>
      <c r="E72" s="96"/>
      <c r="F72" s="84">
        <f>SUM(F73)</f>
        <v>1928.085174073864</v>
      </c>
      <c r="G72" s="90">
        <f t="shared" si="0"/>
        <v>0.65341752514792384</v>
      </c>
      <c r="H72" s="3"/>
    </row>
    <row r="73" spans="1:8" ht="18" x14ac:dyDescent="0.2">
      <c r="A73" s="94" t="str">
        <f>A40</f>
        <v>2.1 TOTAL CUSTO FIXO MENSAL</v>
      </c>
      <c r="B73" s="95"/>
      <c r="C73" s="95"/>
      <c r="D73" s="95"/>
      <c r="E73" s="96"/>
      <c r="F73" s="92">
        <f>B40</f>
        <v>1928.085174073864</v>
      </c>
      <c r="G73" s="93">
        <f t="shared" si="0"/>
        <v>0.65341752514792384</v>
      </c>
      <c r="H73" s="3"/>
    </row>
    <row r="74" spans="1:8" ht="18" x14ac:dyDescent="0.2">
      <c r="A74" s="99" t="str">
        <f>A53</f>
        <v>3- CUSTO TOTAL MENSAL COM DESPESAS OPERACIONAIS</v>
      </c>
      <c r="B74" s="100"/>
      <c r="C74" s="100"/>
      <c r="D74" s="100"/>
      <c r="E74" s="101"/>
      <c r="F74" s="84">
        <f>F68+F72</f>
        <v>2454.4755660738638</v>
      </c>
      <c r="G74" s="90">
        <f t="shared" si="0"/>
        <v>0.83180835135584763</v>
      </c>
      <c r="H74" s="3"/>
    </row>
    <row r="75" spans="1:8" ht="18" x14ac:dyDescent="0.25">
      <c r="A75" s="102" t="str">
        <f>A55</f>
        <v xml:space="preserve">4- BENEFÍCIOS E DESPESAS INDIRETAS </v>
      </c>
      <c r="B75" s="103"/>
      <c r="C75" s="103"/>
      <c r="D75" s="100"/>
      <c r="E75" s="84"/>
      <c r="F75" s="84">
        <f>H60</f>
        <v>496.29495946013526</v>
      </c>
      <c r="G75" s="90">
        <f>F75/$F$77</f>
        <v>0.1681916486441524</v>
      </c>
      <c r="H75" s="243"/>
    </row>
    <row r="76" spans="1:8" ht="18.75" thickBot="1" x14ac:dyDescent="0.25">
      <c r="A76" s="104"/>
      <c r="B76" s="105"/>
      <c r="C76" s="105"/>
      <c r="D76" s="106"/>
      <c r="E76" s="107"/>
      <c r="F76" s="108"/>
      <c r="G76" s="109"/>
      <c r="H76" s="3"/>
    </row>
    <row r="77" spans="1:8" ht="18.75" thickBot="1" x14ac:dyDescent="0.3">
      <c r="A77" s="110" t="str">
        <f>A62</f>
        <v xml:space="preserve">5- PREÇO MENSAL TOTAL COM O TRANSPORTE  </v>
      </c>
      <c r="B77" s="111"/>
      <c r="C77" s="111"/>
      <c r="D77" s="112"/>
      <c r="E77" s="112"/>
      <c r="F77" s="112">
        <f t="shared" ref="F77:G77" si="1">F74+F75</f>
        <v>2950.7705255339988</v>
      </c>
      <c r="G77" s="113">
        <f t="shared" si="1"/>
        <v>1</v>
      </c>
      <c r="H77" s="244"/>
    </row>
    <row r="78" spans="1:8" ht="18" x14ac:dyDescent="0.25">
      <c r="A78" s="114"/>
      <c r="B78" s="115"/>
      <c r="C78" s="115"/>
      <c r="D78" s="115"/>
      <c r="E78" s="115"/>
      <c r="F78" s="115"/>
      <c r="G78" s="116"/>
      <c r="H78" s="244"/>
    </row>
    <row r="79" spans="1:8" ht="18" x14ac:dyDescent="0.25">
      <c r="A79" s="117" t="s">
        <v>81</v>
      </c>
      <c r="B79" s="118"/>
      <c r="C79" s="118"/>
      <c r="D79" s="118"/>
      <c r="E79" s="118"/>
      <c r="F79" s="118"/>
      <c r="G79" s="119">
        <f>G7</f>
        <v>55</v>
      </c>
      <c r="H79" s="244"/>
    </row>
    <row r="80" spans="1:8" ht="18" x14ac:dyDescent="0.25">
      <c r="A80" s="117" t="s">
        <v>252</v>
      </c>
      <c r="B80" s="118"/>
      <c r="C80" s="118"/>
      <c r="D80" s="118"/>
      <c r="E80" s="118"/>
      <c r="F80" s="118"/>
      <c r="G80" s="120">
        <f>G17</f>
        <v>4</v>
      </c>
      <c r="H80" s="244"/>
    </row>
    <row r="81" spans="1:9" ht="18" x14ac:dyDescent="0.25">
      <c r="A81" s="117" t="s">
        <v>82</v>
      </c>
      <c r="B81" s="118"/>
      <c r="C81" s="118"/>
      <c r="D81" s="121"/>
      <c r="E81" s="121"/>
      <c r="F81" s="118"/>
      <c r="G81" s="119">
        <f>G79*G80</f>
        <v>220</v>
      </c>
      <c r="H81" s="3"/>
    </row>
    <row r="82" spans="1:9" ht="18.75" thickBot="1" x14ac:dyDescent="0.3">
      <c r="A82" s="122" t="s">
        <v>83</v>
      </c>
      <c r="B82" s="123"/>
      <c r="C82" s="123"/>
      <c r="D82" s="124"/>
      <c r="E82" s="124"/>
      <c r="F82" s="123"/>
      <c r="G82" s="125">
        <f>F77/G81</f>
        <v>13.412593297881813</v>
      </c>
      <c r="H82" s="3"/>
    </row>
    <row r="83" spans="1:9" ht="15" x14ac:dyDescent="0.2">
      <c r="A83" s="3"/>
      <c r="B83" s="3"/>
      <c r="C83" s="3"/>
      <c r="E83" s="8"/>
      <c r="F83" s="3"/>
      <c r="G83" s="3"/>
      <c r="H83" s="3"/>
    </row>
    <row r="84" spans="1:9" ht="18" x14ac:dyDescent="0.25">
      <c r="A84" s="126" t="s">
        <v>84</v>
      </c>
      <c r="B84" s="3"/>
      <c r="C84" s="3"/>
      <c r="D84" s="3"/>
      <c r="E84" s="3"/>
      <c r="F84" s="3"/>
      <c r="G84" s="3"/>
      <c r="H84" s="3"/>
    </row>
    <row r="85" spans="1:9" ht="15.75" x14ac:dyDescent="0.25">
      <c r="A85" s="12" t="s">
        <v>85</v>
      </c>
      <c r="B85" s="3"/>
      <c r="C85" s="3"/>
      <c r="D85" s="3"/>
      <c r="E85" s="3"/>
      <c r="F85" s="3"/>
      <c r="G85" s="3"/>
      <c r="H85" s="3"/>
    </row>
    <row r="86" spans="1:9" ht="15.75" x14ac:dyDescent="0.25">
      <c r="A86" s="12" t="s">
        <v>86</v>
      </c>
      <c r="B86" s="127">
        <f>G7</f>
        <v>55</v>
      </c>
      <c r="C86" s="127"/>
      <c r="D86" s="1" t="s">
        <v>87</v>
      </c>
      <c r="E86" s="3"/>
      <c r="F86" s="3"/>
      <c r="G86" s="3"/>
      <c r="H86" s="3"/>
    </row>
    <row r="87" spans="1:9" ht="15.75" x14ac:dyDescent="0.25">
      <c r="A87" s="12" t="s">
        <v>88</v>
      </c>
      <c r="B87" s="1"/>
      <c r="C87" s="1"/>
      <c r="D87" s="1"/>
      <c r="E87" s="3"/>
      <c r="F87" s="3"/>
      <c r="G87" s="3"/>
      <c r="H87" s="3"/>
    </row>
    <row r="88" spans="1:9" ht="15.75" x14ac:dyDescent="0.25">
      <c r="A88" s="12" t="s">
        <v>89</v>
      </c>
      <c r="B88" s="10"/>
      <c r="C88" s="10"/>
      <c r="D88" s="128">
        <f>H64</f>
        <v>13.412593297881813</v>
      </c>
      <c r="E88" s="129"/>
      <c r="F88" s="263"/>
      <c r="G88" s="263"/>
      <c r="H88" s="263"/>
    </row>
    <row r="89" spans="1:9" ht="15.75" x14ac:dyDescent="0.25">
      <c r="A89" s="12"/>
      <c r="B89" s="34"/>
      <c r="C89" s="34"/>
      <c r="D89" s="34"/>
      <c r="E89" s="34"/>
      <c r="F89" s="263"/>
      <c r="G89" s="263"/>
      <c r="H89" s="263"/>
    </row>
    <row r="90" spans="1:9" ht="18" x14ac:dyDescent="0.25">
      <c r="A90" s="130" t="s">
        <v>90</v>
      </c>
      <c r="B90" s="34"/>
      <c r="C90" s="34"/>
      <c r="D90" s="34"/>
      <c r="E90" s="34"/>
      <c r="F90" s="34"/>
      <c r="G90" s="34"/>
      <c r="H90" s="34"/>
    </row>
    <row r="91" spans="1:9" ht="18" x14ac:dyDescent="0.25">
      <c r="A91" s="131"/>
      <c r="B91" s="131"/>
      <c r="C91" s="131"/>
      <c r="D91" s="131"/>
      <c r="E91" s="131"/>
      <c r="F91" s="131"/>
      <c r="G91" s="131"/>
      <c r="H91" s="131"/>
    </row>
    <row r="92" spans="1:9" s="341" customFormat="1" ht="20.25" x14ac:dyDescent="0.2">
      <c r="A92" s="406" t="s">
        <v>328</v>
      </c>
      <c r="B92" s="406"/>
      <c r="C92" s="406"/>
      <c r="D92" s="406"/>
      <c r="E92" s="406"/>
      <c r="F92" s="406"/>
      <c r="G92" s="406"/>
      <c r="H92" s="406"/>
      <c r="I92" s="406"/>
    </row>
    <row r="93" spans="1:9" s="341" customFormat="1" ht="18" x14ac:dyDescent="0.2">
      <c r="A93" s="397" t="s">
        <v>91</v>
      </c>
      <c r="B93" s="397"/>
      <c r="C93" s="397"/>
      <c r="D93" s="397"/>
      <c r="E93" s="397"/>
      <c r="F93" s="397"/>
      <c r="G93" s="397"/>
      <c r="H93" s="397"/>
      <c r="I93" s="397"/>
    </row>
    <row r="94" spans="1:9" s="341" customFormat="1" ht="18" x14ac:dyDescent="0.2">
      <c r="A94" s="397" t="s">
        <v>92</v>
      </c>
      <c r="B94" s="397"/>
      <c r="C94" s="397"/>
      <c r="D94" s="397"/>
      <c r="E94" s="397"/>
      <c r="F94" s="397"/>
      <c r="G94" s="397"/>
      <c r="H94" s="397"/>
      <c r="I94" s="397"/>
    </row>
    <row r="95" spans="1:9" s="341" customFormat="1" ht="18" x14ac:dyDescent="0.2">
      <c r="A95" s="342" t="s">
        <v>93</v>
      </c>
      <c r="B95" s="397" t="str">
        <f>B12</f>
        <v>MICRO-ÔNIBUS - mínimo 26 lugares</v>
      </c>
      <c r="C95" s="397"/>
      <c r="D95" s="397"/>
      <c r="E95" s="397"/>
      <c r="F95" s="397"/>
      <c r="G95" s="397"/>
      <c r="H95" s="397"/>
      <c r="I95" s="397"/>
    </row>
    <row r="96" spans="1:9" s="341" customFormat="1" ht="18" x14ac:dyDescent="0.2">
      <c r="A96" s="397" t="s">
        <v>94</v>
      </c>
      <c r="B96" s="397"/>
      <c r="C96" s="397"/>
      <c r="D96" s="397"/>
      <c r="E96" s="397"/>
      <c r="F96" s="397"/>
      <c r="G96" s="397"/>
      <c r="H96" s="397"/>
      <c r="I96" s="397"/>
    </row>
    <row r="97" spans="1:9" s="341" customFormat="1" ht="18" x14ac:dyDescent="0.2">
      <c r="A97" s="342" t="s">
        <v>95</v>
      </c>
      <c r="B97" s="397" t="str">
        <f>A13</f>
        <v>Média de valores veículos (fabricação acima de 2014) - Tabela FIPE/SEFAZ</v>
      </c>
      <c r="C97" s="397"/>
      <c r="D97" s="397"/>
      <c r="E97" s="397"/>
      <c r="F97" s="397"/>
      <c r="G97" s="397"/>
      <c r="H97" s="397"/>
      <c r="I97" s="397"/>
    </row>
    <row r="98" spans="1:9" s="341" customFormat="1" ht="18" x14ac:dyDescent="0.2">
      <c r="A98" s="397" t="s">
        <v>329</v>
      </c>
      <c r="B98" s="397"/>
      <c r="C98" s="397"/>
      <c r="D98" s="397"/>
      <c r="E98" s="397"/>
      <c r="F98" s="397"/>
      <c r="G98" s="397"/>
      <c r="H98" s="397"/>
      <c r="I98" s="397"/>
    </row>
    <row r="99" spans="1:9" s="341" customFormat="1" ht="18" x14ac:dyDescent="0.2">
      <c r="A99" s="397" t="s">
        <v>96</v>
      </c>
      <c r="B99" s="397"/>
      <c r="C99" s="397"/>
      <c r="D99" s="397"/>
      <c r="E99" s="397"/>
      <c r="F99" s="397"/>
      <c r="G99" s="397"/>
      <c r="H99" s="397"/>
      <c r="I99" s="397"/>
    </row>
    <row r="100" spans="1:9" s="341" customFormat="1" ht="40.5" customHeight="1" x14ac:dyDescent="0.2">
      <c r="A100" s="397" t="s">
        <v>248</v>
      </c>
      <c r="B100" s="397"/>
      <c r="C100" s="397"/>
      <c r="D100" s="397"/>
      <c r="E100" s="397"/>
      <c r="F100" s="397"/>
      <c r="G100" s="397"/>
      <c r="H100" s="397"/>
      <c r="I100" s="397"/>
    </row>
    <row r="101" spans="1:9" s="341" customFormat="1" ht="18" x14ac:dyDescent="0.2">
      <c r="A101" s="397" t="s">
        <v>97</v>
      </c>
      <c r="B101" s="397"/>
      <c r="C101" s="397"/>
      <c r="D101" s="397"/>
      <c r="E101" s="397"/>
      <c r="F101" s="397"/>
      <c r="G101" s="397"/>
      <c r="H101" s="397"/>
      <c r="I101" s="397"/>
    </row>
    <row r="102" spans="1:9" s="341" customFormat="1" ht="18" x14ac:dyDescent="0.2">
      <c r="A102" s="397" t="s">
        <v>98</v>
      </c>
      <c r="B102" s="397"/>
      <c r="C102" s="397"/>
      <c r="D102" s="397"/>
      <c r="E102" s="397"/>
      <c r="F102" s="397"/>
      <c r="G102" s="397"/>
      <c r="H102" s="397"/>
      <c r="I102" s="397"/>
    </row>
    <row r="103" spans="1:9" s="341" customFormat="1" ht="18" x14ac:dyDescent="0.2">
      <c r="A103" s="397" t="s">
        <v>99</v>
      </c>
      <c r="B103" s="397"/>
      <c r="C103" s="397"/>
      <c r="D103" s="397"/>
      <c r="E103" s="397"/>
      <c r="F103" s="397"/>
      <c r="G103" s="397"/>
      <c r="H103" s="397"/>
      <c r="I103" s="397"/>
    </row>
    <row r="104" spans="1:9" s="341" customFormat="1" ht="18" x14ac:dyDescent="0.2">
      <c r="A104" s="397" t="s">
        <v>100</v>
      </c>
      <c r="B104" s="397"/>
      <c r="C104" s="397"/>
      <c r="D104" s="397"/>
      <c r="E104" s="397"/>
      <c r="F104" s="397"/>
      <c r="G104" s="397"/>
      <c r="H104" s="397"/>
      <c r="I104" s="397"/>
    </row>
    <row r="105" spans="1:9" s="341" customFormat="1" ht="18" x14ac:dyDescent="0.2">
      <c r="A105" s="397" t="s">
        <v>101</v>
      </c>
      <c r="B105" s="397"/>
      <c r="C105" s="397"/>
      <c r="D105" s="397"/>
      <c r="E105" s="397"/>
      <c r="F105" s="397"/>
      <c r="G105" s="397"/>
      <c r="H105" s="397"/>
      <c r="I105" s="397"/>
    </row>
    <row r="106" spans="1:9" s="341" customFormat="1" ht="44.25" customHeight="1" x14ac:dyDescent="0.2">
      <c r="A106" s="397" t="s">
        <v>249</v>
      </c>
      <c r="B106" s="397"/>
      <c r="C106" s="397"/>
      <c r="D106" s="397"/>
      <c r="E106" s="397"/>
      <c r="F106" s="397"/>
      <c r="G106" s="397"/>
      <c r="H106" s="397"/>
      <c r="I106" s="397"/>
    </row>
    <row r="107" spans="1:9" s="341" customFormat="1" ht="18" x14ac:dyDescent="0.2">
      <c r="A107" s="397" t="s">
        <v>322</v>
      </c>
      <c r="B107" s="397"/>
      <c r="C107" s="397"/>
      <c r="D107" s="397"/>
      <c r="E107" s="397"/>
      <c r="F107" s="397"/>
      <c r="G107" s="397"/>
      <c r="H107" s="397"/>
      <c r="I107" s="397"/>
    </row>
    <row r="108" spans="1:9" s="341" customFormat="1" ht="41.25" customHeight="1" x14ac:dyDescent="0.2">
      <c r="A108" s="397" t="s">
        <v>323</v>
      </c>
      <c r="B108" s="397"/>
      <c r="C108" s="397"/>
      <c r="D108" s="397"/>
      <c r="E108" s="397"/>
      <c r="F108" s="397"/>
      <c r="G108" s="397"/>
      <c r="H108" s="397"/>
      <c r="I108" s="397"/>
    </row>
    <row r="109" spans="1:9" s="341" customFormat="1" ht="90.75" customHeight="1" x14ac:dyDescent="0.2">
      <c r="A109" s="397" t="s">
        <v>324</v>
      </c>
      <c r="B109" s="397"/>
      <c r="C109" s="397"/>
      <c r="D109" s="397"/>
      <c r="E109" s="397"/>
      <c r="F109" s="397"/>
      <c r="G109" s="397"/>
      <c r="H109" s="397"/>
      <c r="I109" s="397"/>
    </row>
    <row r="110" spans="1:9" s="341" customFormat="1" ht="18" x14ac:dyDescent="0.2">
      <c r="A110" s="397" t="s">
        <v>102</v>
      </c>
      <c r="B110" s="397"/>
      <c r="C110" s="397"/>
      <c r="D110" s="397"/>
      <c r="E110" s="397"/>
      <c r="F110" s="397"/>
      <c r="G110" s="397"/>
      <c r="H110" s="397"/>
      <c r="I110" s="397"/>
    </row>
    <row r="111" spans="1:9" s="341" customFormat="1" ht="36.75" customHeight="1" x14ac:dyDescent="0.2">
      <c r="A111" s="397" t="s">
        <v>247</v>
      </c>
      <c r="B111" s="397"/>
      <c r="C111" s="397"/>
      <c r="D111" s="397"/>
      <c r="E111" s="397"/>
      <c r="F111" s="397"/>
      <c r="G111" s="397"/>
      <c r="H111" s="397"/>
      <c r="I111" s="397"/>
    </row>
    <row r="112" spans="1:9" s="341" customFormat="1" ht="18" x14ac:dyDescent="0.2">
      <c r="A112" s="397" t="s">
        <v>103</v>
      </c>
      <c r="B112" s="397"/>
      <c r="C112" s="397"/>
      <c r="D112" s="397"/>
      <c r="E112" s="397"/>
      <c r="F112" s="397"/>
      <c r="G112" s="397"/>
      <c r="H112" s="397"/>
      <c r="I112" s="397"/>
    </row>
    <row r="113" spans="1:9" s="341" customFormat="1" ht="18" x14ac:dyDescent="0.2">
      <c r="A113" s="397" t="s">
        <v>104</v>
      </c>
      <c r="B113" s="397"/>
      <c r="C113" s="397"/>
      <c r="D113" s="397"/>
      <c r="E113" s="397"/>
      <c r="F113" s="397"/>
      <c r="G113" s="397"/>
      <c r="H113" s="397"/>
      <c r="I113" s="397"/>
    </row>
    <row r="114" spans="1:9" s="341" customFormat="1" ht="42" customHeight="1" x14ac:dyDescent="0.2">
      <c r="A114" s="397" t="s">
        <v>325</v>
      </c>
      <c r="B114" s="397"/>
      <c r="C114" s="397"/>
      <c r="D114" s="397"/>
      <c r="E114" s="397"/>
      <c r="F114" s="397"/>
      <c r="G114" s="397"/>
      <c r="H114" s="397"/>
      <c r="I114" s="397"/>
    </row>
    <row r="115" spans="1:9" s="341" customFormat="1" ht="40.5" customHeight="1" x14ac:dyDescent="0.2">
      <c r="A115" s="397" t="s">
        <v>326</v>
      </c>
      <c r="B115" s="397"/>
      <c r="C115" s="397"/>
      <c r="D115" s="397"/>
      <c r="E115" s="397"/>
      <c r="F115" s="397"/>
      <c r="G115" s="397"/>
      <c r="H115" s="397"/>
      <c r="I115" s="397"/>
    </row>
    <row r="116" spans="1:9" s="341" customFormat="1" ht="36.75" customHeight="1" x14ac:dyDescent="0.2">
      <c r="A116" s="397" t="s">
        <v>327</v>
      </c>
      <c r="B116" s="397"/>
      <c r="C116" s="397"/>
      <c r="D116" s="397"/>
      <c r="E116" s="397"/>
      <c r="F116" s="397"/>
      <c r="G116" s="397"/>
      <c r="H116" s="397"/>
      <c r="I116" s="397"/>
    </row>
    <row r="117" spans="1:9" ht="16.5" x14ac:dyDescent="0.25">
      <c r="A117" s="132"/>
      <c r="B117" s="34"/>
      <c r="C117" s="34"/>
      <c r="D117" s="34"/>
      <c r="E117" s="34"/>
      <c r="F117" s="34"/>
      <c r="G117" s="34"/>
      <c r="H117" s="34"/>
    </row>
    <row r="118" spans="1:9" ht="18" x14ac:dyDescent="0.25">
      <c r="A118" s="133" t="s">
        <v>9</v>
      </c>
      <c r="B118" s="379">
        <f ca="1">TODAY()</f>
        <v>45540</v>
      </c>
      <c r="C118" s="379"/>
      <c r="D118" s="379"/>
      <c r="E118" s="34"/>
      <c r="F118" s="34"/>
      <c r="G118" s="34"/>
      <c r="H118" s="34"/>
    </row>
    <row r="119" spans="1:9" ht="18" x14ac:dyDescent="0.25">
      <c r="A119" s="131"/>
      <c r="B119" s="34"/>
      <c r="C119" s="34"/>
      <c r="D119" s="34"/>
      <c r="E119" s="34"/>
      <c r="F119" s="34"/>
      <c r="G119" s="34"/>
      <c r="H119" s="34"/>
    </row>
    <row r="120" spans="1:9" ht="16.5" x14ac:dyDescent="0.25">
      <c r="A120" s="132"/>
      <c r="B120" s="34"/>
      <c r="C120" s="34"/>
      <c r="D120" s="34"/>
      <c r="E120" s="34"/>
      <c r="F120" s="34"/>
      <c r="G120" s="34"/>
      <c r="H120" s="34"/>
    </row>
    <row r="121" spans="1:9" ht="18" x14ac:dyDescent="0.25">
      <c r="A121" s="133"/>
      <c r="B121" s="379"/>
      <c r="C121" s="379"/>
      <c r="D121" s="379"/>
      <c r="E121" s="34"/>
      <c r="F121" s="34"/>
      <c r="G121" s="34"/>
      <c r="H121" s="34"/>
    </row>
    <row r="122" spans="1:9" ht="18" x14ac:dyDescent="0.25">
      <c r="A122" s="131"/>
      <c r="B122" s="34"/>
      <c r="C122" s="34"/>
      <c r="D122" s="34"/>
      <c r="E122" s="34"/>
      <c r="F122" s="34"/>
      <c r="G122" s="34"/>
      <c r="H122" s="34"/>
    </row>
    <row r="123" spans="1:9" ht="18" x14ac:dyDescent="0.25">
      <c r="A123" s="131"/>
      <c r="B123" s="34"/>
      <c r="C123" s="34"/>
      <c r="D123" s="34"/>
      <c r="E123" s="34"/>
      <c r="F123" s="34"/>
      <c r="G123" s="34"/>
      <c r="H123" s="34"/>
    </row>
    <row r="124" spans="1:9" ht="18" x14ac:dyDescent="0.25">
      <c r="A124" s="131"/>
      <c r="B124" s="34"/>
      <c r="C124" s="34"/>
      <c r="D124" s="34"/>
      <c r="E124" s="34"/>
      <c r="F124" s="34"/>
      <c r="G124" s="34"/>
      <c r="H124" s="34"/>
    </row>
    <row r="125" spans="1:9" x14ac:dyDescent="0.2">
      <c r="A125" s="34"/>
      <c r="B125" s="34"/>
      <c r="C125" s="34"/>
      <c r="D125" s="34"/>
      <c r="E125" s="34"/>
      <c r="F125" s="34"/>
      <c r="G125" s="34"/>
      <c r="H125" s="34"/>
    </row>
    <row r="126" spans="1:9" x14ac:dyDescent="0.2">
      <c r="A126" s="34"/>
      <c r="B126" s="34"/>
      <c r="C126" s="34"/>
      <c r="D126" s="34"/>
      <c r="E126" s="34"/>
      <c r="F126" s="34"/>
      <c r="G126" s="34"/>
      <c r="H126" s="34"/>
    </row>
    <row r="127" spans="1:9" x14ac:dyDescent="0.2">
      <c r="A127" s="34"/>
      <c r="B127" s="34"/>
      <c r="C127" s="34"/>
      <c r="D127" s="34"/>
      <c r="E127" s="34"/>
      <c r="F127" s="34"/>
      <c r="G127" s="34"/>
      <c r="H127" s="34"/>
    </row>
  </sheetData>
  <mergeCells count="46">
    <mergeCell ref="A94:I94"/>
    <mergeCell ref="A93:I93"/>
    <mergeCell ref="A92:I92"/>
    <mergeCell ref="A100:I100"/>
    <mergeCell ref="A99:I99"/>
    <mergeCell ref="A98:I98"/>
    <mergeCell ref="B97:I97"/>
    <mergeCell ref="A96:I96"/>
    <mergeCell ref="B95:I95"/>
    <mergeCell ref="A18:F18"/>
    <mergeCell ref="A53:G53"/>
    <mergeCell ref="A55:G55"/>
    <mergeCell ref="A66:G66"/>
    <mergeCell ref="B118:D118"/>
    <mergeCell ref="A101:I101"/>
    <mergeCell ref="A107:I107"/>
    <mergeCell ref="A108:I108"/>
    <mergeCell ref="A109:I109"/>
    <mergeCell ref="A110:I110"/>
    <mergeCell ref="A113:I113"/>
    <mergeCell ref="A114:I114"/>
    <mergeCell ref="A115:I115"/>
    <mergeCell ref="A116:I116"/>
    <mergeCell ref="A102:I102"/>
    <mergeCell ref="A111:I111"/>
    <mergeCell ref="B121:D121"/>
    <mergeCell ref="A103:I103"/>
    <mergeCell ref="A104:I104"/>
    <mergeCell ref="A105:I105"/>
    <mergeCell ref="A106:I106"/>
    <mergeCell ref="A112:I112"/>
    <mergeCell ref="A17:F17"/>
    <mergeCell ref="A1:H1"/>
    <mergeCell ref="A2:H2"/>
    <mergeCell ref="A3:H3"/>
    <mergeCell ref="A7:F7"/>
    <mergeCell ref="A10:F10"/>
    <mergeCell ref="A11:F11"/>
    <mergeCell ref="B6:F6"/>
    <mergeCell ref="D8:F8"/>
    <mergeCell ref="C9:F9"/>
    <mergeCell ref="B12:G12"/>
    <mergeCell ref="A13:F13"/>
    <mergeCell ref="A14:F14"/>
    <mergeCell ref="A15:F15"/>
    <mergeCell ref="A16:F16"/>
  </mergeCells>
  <hyperlinks>
    <hyperlink ref="A92:I92" location="Roteiros!A1" display="&gt;  Distância percorrida da rota - determinado conforme tabela 'Roteiros'" xr:uid="{45C2DF0F-A272-41CC-884D-C3117646FA04}"/>
  </hyperlinks>
  <pageMargins left="0.25" right="0.25" top="0.75" bottom="0.75" header="0.3" footer="0.3"/>
  <pageSetup paperSize="9" scale="34" fitToWidth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pageSetUpPr fitToPage="1"/>
  </sheetPr>
  <dimension ref="A1:KV64"/>
  <sheetViews>
    <sheetView zoomScaleNormal="100" workbookViewId="0">
      <selection sqref="A1:E1"/>
    </sheetView>
  </sheetViews>
  <sheetFormatPr defaultColWidth="14.42578125" defaultRowHeight="12.75" x14ac:dyDescent="0.2"/>
  <cols>
    <col min="1" max="1" width="103.42578125" style="135" customWidth="1"/>
    <col min="2" max="2" width="8.140625" style="135" bestFit="1" customWidth="1"/>
    <col min="3" max="3" width="16.7109375" style="135" bestFit="1" customWidth="1"/>
    <col min="4" max="4" width="9.140625" style="135" bestFit="1" customWidth="1"/>
    <col min="5" max="5" width="8.140625" style="135" bestFit="1" customWidth="1"/>
    <col min="6" max="6" width="9.85546875" style="135" bestFit="1" customWidth="1"/>
    <col min="7" max="7" width="5.28515625" style="135" bestFit="1" customWidth="1"/>
    <col min="8" max="8" width="9.140625" style="135" customWidth="1"/>
    <col min="9" max="9" width="48" style="135" bestFit="1" customWidth="1"/>
    <col min="10" max="10" width="16.28515625" style="135" bestFit="1" customWidth="1"/>
    <col min="11" max="11" width="2.140625" style="135" bestFit="1" customWidth="1"/>
    <col min="12" max="12" width="2" style="135" bestFit="1" customWidth="1"/>
    <col min="13" max="13" width="9.85546875" style="135" bestFit="1" customWidth="1"/>
    <col min="14" max="14" width="5.28515625" style="135" bestFit="1" customWidth="1"/>
    <col min="15" max="15" width="8.5703125" style="135" customWidth="1"/>
    <col min="16" max="16" width="22.85546875" style="135" bestFit="1" customWidth="1"/>
    <col min="17" max="17" width="16.28515625" style="135" bestFit="1" customWidth="1"/>
    <col min="18" max="18" width="2.140625" style="135" bestFit="1" customWidth="1"/>
    <col min="19" max="19" width="2" style="135" bestFit="1" customWidth="1"/>
    <col min="20" max="20" width="9.85546875" style="135" bestFit="1" customWidth="1"/>
    <col min="21" max="21" width="5.28515625" style="135" bestFit="1" customWidth="1"/>
    <col min="22" max="22" width="8.5703125" style="135" customWidth="1"/>
    <col min="23" max="23" width="22.85546875" style="135" bestFit="1" customWidth="1"/>
    <col min="24" max="24" width="16.28515625" style="135" bestFit="1" customWidth="1"/>
    <col min="25" max="25" width="2.140625" style="135" bestFit="1" customWidth="1"/>
    <col min="26" max="26" width="2" style="135" bestFit="1" customWidth="1"/>
    <col min="27" max="27" width="9.85546875" style="135" bestFit="1" customWidth="1"/>
    <col min="28" max="28" width="5.28515625" style="135" bestFit="1" customWidth="1"/>
    <col min="29" max="29" width="14.42578125" style="135"/>
    <col min="30" max="30" width="22.85546875" style="135" bestFit="1" customWidth="1"/>
    <col min="31" max="31" width="16.28515625" style="135" bestFit="1" customWidth="1"/>
    <col min="32" max="32" width="2.140625" style="135" bestFit="1" customWidth="1"/>
    <col min="33" max="33" width="2" style="135" bestFit="1" customWidth="1"/>
    <col min="34" max="34" width="9.85546875" style="135" bestFit="1" customWidth="1"/>
    <col min="35" max="35" width="5.28515625" style="135" bestFit="1" customWidth="1"/>
    <col min="36" max="36" width="14.42578125" style="135"/>
    <col min="37" max="37" width="22.85546875" style="135" bestFit="1" customWidth="1"/>
    <col min="38" max="38" width="16.28515625" style="135" bestFit="1" customWidth="1"/>
    <col min="39" max="39" width="2.140625" style="135" bestFit="1" customWidth="1"/>
    <col min="40" max="40" width="2" style="135" bestFit="1" customWidth="1"/>
    <col min="41" max="41" width="9.85546875" style="135" bestFit="1" customWidth="1"/>
    <col min="42" max="42" width="5.28515625" style="135" bestFit="1" customWidth="1"/>
    <col min="43" max="43" width="14.42578125" style="135"/>
    <col min="44" max="44" width="22.85546875" style="135" bestFit="1" customWidth="1"/>
    <col min="45" max="45" width="16.28515625" style="135" bestFit="1" customWidth="1"/>
    <col min="46" max="46" width="2.140625" style="135" bestFit="1" customWidth="1"/>
    <col min="47" max="47" width="2" style="135" bestFit="1" customWidth="1"/>
    <col min="48" max="48" width="9.85546875" style="135" bestFit="1" customWidth="1"/>
    <col min="49" max="49" width="5.28515625" style="135" bestFit="1" customWidth="1"/>
    <col min="50" max="50" width="14.42578125" style="135"/>
    <col min="51" max="51" width="22.85546875" style="135" bestFit="1" customWidth="1"/>
    <col min="52" max="52" width="16.28515625" style="135" bestFit="1" customWidth="1"/>
    <col min="53" max="53" width="2.140625" style="135" bestFit="1" customWidth="1"/>
    <col min="54" max="54" width="2" style="135" bestFit="1" customWidth="1"/>
    <col min="55" max="55" width="9.85546875" style="135" bestFit="1" customWidth="1"/>
    <col min="56" max="56" width="5.28515625" style="135" bestFit="1" customWidth="1"/>
    <col min="57" max="57" width="14.42578125" style="135"/>
    <col min="58" max="58" width="22.85546875" style="135" bestFit="1" customWidth="1"/>
    <col min="59" max="59" width="16.28515625" style="135" bestFit="1" customWidth="1"/>
    <col min="60" max="60" width="2.140625" style="135" bestFit="1" customWidth="1"/>
    <col min="61" max="61" width="2" style="135" bestFit="1" customWidth="1"/>
    <col min="62" max="62" width="9.85546875" style="135" bestFit="1" customWidth="1"/>
    <col min="63" max="63" width="5.28515625" style="135" bestFit="1" customWidth="1"/>
    <col min="64" max="64" width="14.42578125" style="135"/>
    <col min="65" max="65" width="22.85546875" style="135" bestFit="1" customWidth="1"/>
    <col min="66" max="66" width="16.28515625" style="135" bestFit="1" customWidth="1"/>
    <col min="67" max="67" width="2.140625" style="135" bestFit="1" customWidth="1"/>
    <col min="68" max="68" width="2" style="135" bestFit="1" customWidth="1"/>
    <col min="69" max="69" width="9.85546875" style="135" bestFit="1" customWidth="1"/>
    <col min="70" max="70" width="5.28515625" style="135" bestFit="1" customWidth="1"/>
    <col min="71" max="71" width="14.42578125" style="135"/>
    <col min="72" max="72" width="22.85546875" style="135" bestFit="1" customWidth="1"/>
    <col min="73" max="73" width="16.28515625" style="135" bestFit="1" customWidth="1"/>
    <col min="74" max="74" width="2.140625" style="135" bestFit="1" customWidth="1"/>
    <col min="75" max="75" width="2" style="135" bestFit="1" customWidth="1"/>
    <col min="76" max="76" width="9.85546875" style="135" bestFit="1" customWidth="1"/>
    <col min="77" max="77" width="5.28515625" style="135" bestFit="1" customWidth="1"/>
    <col min="78" max="78" width="14.42578125" style="135"/>
    <col min="79" max="79" width="22.85546875" style="135" bestFit="1" customWidth="1"/>
    <col min="80" max="80" width="16.28515625" style="135" bestFit="1" customWidth="1"/>
    <col min="81" max="81" width="2.140625" style="135" bestFit="1" customWidth="1"/>
    <col min="82" max="82" width="2" style="135" bestFit="1" customWidth="1"/>
    <col min="83" max="83" width="9.85546875" style="135" bestFit="1" customWidth="1"/>
    <col min="84" max="84" width="5.28515625" style="135" bestFit="1" customWidth="1"/>
    <col min="85" max="85" width="14.42578125" style="135"/>
    <col min="86" max="86" width="22.85546875" style="135" bestFit="1" customWidth="1"/>
    <col min="87" max="87" width="16.28515625" style="135" bestFit="1" customWidth="1"/>
    <col min="88" max="88" width="2.140625" style="135" bestFit="1" customWidth="1"/>
    <col min="89" max="89" width="2" style="135" bestFit="1" customWidth="1"/>
    <col min="90" max="90" width="9.85546875" style="135" bestFit="1" customWidth="1"/>
    <col min="91" max="91" width="5.28515625" style="135" bestFit="1" customWidth="1"/>
    <col min="92" max="92" width="14.42578125" style="135"/>
    <col min="93" max="93" width="22.85546875" style="135" bestFit="1" customWidth="1"/>
    <col min="94" max="94" width="16.28515625" style="135" bestFit="1" customWidth="1"/>
    <col min="95" max="95" width="2.140625" style="135" bestFit="1" customWidth="1"/>
    <col min="96" max="96" width="2" style="135" bestFit="1" customWidth="1"/>
    <col min="97" max="97" width="9.85546875" style="135" bestFit="1" customWidth="1"/>
    <col min="98" max="98" width="5.28515625" style="135" bestFit="1" customWidth="1"/>
    <col min="99" max="99" width="14.42578125" style="135"/>
    <col min="100" max="100" width="22.85546875" style="135" bestFit="1" customWidth="1"/>
    <col min="101" max="101" width="16.28515625" style="135" bestFit="1" customWidth="1"/>
    <col min="102" max="102" width="2.140625" style="135" bestFit="1" customWidth="1"/>
    <col min="103" max="103" width="2" style="135" bestFit="1" customWidth="1"/>
    <col min="104" max="104" width="9.85546875" style="135" bestFit="1" customWidth="1"/>
    <col min="105" max="105" width="5.28515625" style="135" bestFit="1" customWidth="1"/>
    <col min="106" max="106" width="14.42578125" style="135"/>
    <col min="107" max="107" width="22.85546875" style="135" bestFit="1" customWidth="1"/>
    <col min="108" max="108" width="16.28515625" style="135" bestFit="1" customWidth="1"/>
    <col min="109" max="109" width="2.140625" style="135" bestFit="1" customWidth="1"/>
    <col min="110" max="110" width="2" style="135" bestFit="1" customWidth="1"/>
    <col min="111" max="111" width="9.85546875" style="135" bestFit="1" customWidth="1"/>
    <col min="112" max="112" width="5.28515625" style="135" bestFit="1" customWidth="1"/>
    <col min="113" max="113" width="14.42578125" style="135"/>
    <col min="114" max="114" width="22.85546875" style="135" bestFit="1" customWidth="1"/>
    <col min="115" max="115" width="16.28515625" style="135" bestFit="1" customWidth="1"/>
    <col min="116" max="116" width="2.140625" style="135" bestFit="1" customWidth="1"/>
    <col min="117" max="117" width="2" style="135" bestFit="1" customWidth="1"/>
    <col min="118" max="118" width="9.85546875" style="135" bestFit="1" customWidth="1"/>
    <col min="119" max="119" width="5.28515625" style="135" bestFit="1" customWidth="1"/>
    <col min="120" max="120" width="14.42578125" style="135"/>
    <col min="121" max="121" width="22.85546875" style="137" bestFit="1" customWidth="1"/>
    <col min="122" max="122" width="16.28515625" style="137" bestFit="1" customWidth="1"/>
    <col min="123" max="123" width="2.140625" style="137" bestFit="1" customWidth="1"/>
    <col min="124" max="124" width="2" style="137" bestFit="1" customWidth="1"/>
    <col min="125" max="125" width="9.85546875" style="137" bestFit="1" customWidth="1"/>
    <col min="126" max="126" width="5.28515625" style="137" bestFit="1" customWidth="1"/>
    <col min="127" max="127" width="14.42578125" style="135"/>
    <col min="128" max="128" width="49.5703125" style="137" customWidth="1"/>
    <col min="129" max="129" width="16.28515625" style="137" bestFit="1" customWidth="1"/>
    <col min="130" max="130" width="2.140625" style="137" bestFit="1" customWidth="1"/>
    <col min="131" max="131" width="2" style="137" bestFit="1" customWidth="1"/>
    <col min="132" max="132" width="9.85546875" style="137" bestFit="1" customWidth="1"/>
    <col min="133" max="133" width="5.28515625" style="137" bestFit="1" customWidth="1"/>
    <col min="134" max="134" width="7.42578125" style="135" customWidth="1"/>
    <col min="135" max="135" width="37.28515625" style="137" bestFit="1" customWidth="1"/>
    <col min="136" max="136" width="16.28515625" style="137" bestFit="1" customWidth="1"/>
    <col min="137" max="137" width="2.140625" style="137" bestFit="1" customWidth="1"/>
    <col min="138" max="138" width="2" style="137" bestFit="1" customWidth="1"/>
    <col min="139" max="139" width="9.85546875" style="137" bestFit="1" customWidth="1"/>
    <col min="140" max="140" width="5.28515625" style="137" bestFit="1" customWidth="1"/>
    <col min="141" max="141" width="7" style="135" customWidth="1"/>
    <col min="142" max="142" width="50.28515625" style="137" customWidth="1"/>
    <col min="143" max="143" width="16.28515625" style="137" bestFit="1" customWidth="1"/>
    <col min="144" max="144" width="2.140625" style="137" bestFit="1" customWidth="1"/>
    <col min="145" max="145" width="2" style="137" bestFit="1" customWidth="1"/>
    <col min="146" max="146" width="9.85546875" style="137" bestFit="1" customWidth="1"/>
    <col min="147" max="147" width="5.28515625" style="137" bestFit="1" customWidth="1"/>
    <col min="148" max="148" width="6.85546875" style="135" customWidth="1"/>
    <col min="149" max="149" width="45.42578125" style="137" customWidth="1"/>
    <col min="150" max="150" width="16.28515625" style="137" bestFit="1" customWidth="1"/>
    <col min="151" max="151" width="2.140625" style="137" bestFit="1" customWidth="1"/>
    <col min="152" max="152" width="2" style="137" bestFit="1" customWidth="1"/>
    <col min="153" max="153" width="9.85546875" style="137" bestFit="1" customWidth="1"/>
    <col min="154" max="154" width="5.28515625" style="137" bestFit="1" customWidth="1"/>
    <col min="155" max="155" width="8" style="135" customWidth="1"/>
    <col min="156" max="156" width="45.5703125" style="137" customWidth="1"/>
    <col min="157" max="157" width="16.28515625" style="137" bestFit="1" customWidth="1"/>
    <col min="158" max="158" width="2.140625" style="137" bestFit="1" customWidth="1"/>
    <col min="159" max="159" width="2" style="137" bestFit="1" customWidth="1"/>
    <col min="160" max="160" width="9.85546875" style="137" bestFit="1" customWidth="1"/>
    <col min="161" max="161" width="5.28515625" style="137" bestFit="1" customWidth="1"/>
    <col min="162" max="162" width="14.42578125" style="135"/>
    <col min="163" max="163" width="38.85546875" style="137" customWidth="1"/>
    <col min="164" max="164" width="16.28515625" style="137" bestFit="1" customWidth="1"/>
    <col min="165" max="165" width="2.140625" style="137" bestFit="1" customWidth="1"/>
    <col min="166" max="166" width="2" style="137" bestFit="1" customWidth="1"/>
    <col min="167" max="167" width="9.85546875" style="137" bestFit="1" customWidth="1"/>
    <col min="168" max="168" width="5.28515625" style="137" bestFit="1" customWidth="1"/>
    <col min="169" max="169" width="14.42578125" style="135"/>
    <col min="170" max="170" width="31.5703125" style="137" bestFit="1" customWidth="1"/>
    <col min="171" max="171" width="16.28515625" style="137" bestFit="1" customWidth="1"/>
    <col min="172" max="172" width="2.140625" style="137" bestFit="1" customWidth="1"/>
    <col min="173" max="173" width="2" style="137" bestFit="1" customWidth="1"/>
    <col min="174" max="174" width="9.85546875" style="137" bestFit="1" customWidth="1"/>
    <col min="175" max="175" width="5.28515625" style="137" bestFit="1" customWidth="1"/>
    <col min="176" max="176" width="14.42578125" style="135"/>
    <col min="177" max="177" width="31" style="137" bestFit="1" customWidth="1"/>
    <col min="178" max="178" width="16.28515625" style="137" bestFit="1" customWidth="1"/>
    <col min="179" max="179" width="2.140625" style="137" bestFit="1" customWidth="1"/>
    <col min="180" max="180" width="2" style="137" bestFit="1" customWidth="1"/>
    <col min="181" max="181" width="9.85546875" style="137" bestFit="1" customWidth="1"/>
    <col min="182" max="182" width="5.28515625" style="137" bestFit="1" customWidth="1"/>
    <col min="183" max="183" width="14.42578125" style="135"/>
    <col min="184" max="184" width="35.28515625" style="137" bestFit="1" customWidth="1"/>
    <col min="185" max="185" width="16.28515625" style="137" bestFit="1" customWidth="1"/>
    <col min="186" max="186" width="2.140625" style="137" bestFit="1" customWidth="1"/>
    <col min="187" max="187" width="2" style="137" bestFit="1" customWidth="1"/>
    <col min="188" max="188" width="9.85546875" style="137" bestFit="1" customWidth="1"/>
    <col min="189" max="189" width="5.28515625" style="137" bestFit="1" customWidth="1"/>
    <col min="190" max="190" width="14.42578125" style="135"/>
    <col min="191" max="191" width="36" style="137" bestFit="1" customWidth="1"/>
    <col min="192" max="192" width="16.28515625" style="137" bestFit="1" customWidth="1"/>
    <col min="193" max="193" width="2.140625" style="137" bestFit="1" customWidth="1"/>
    <col min="194" max="194" width="2" style="137" bestFit="1" customWidth="1"/>
    <col min="195" max="195" width="9.85546875" style="137" bestFit="1" customWidth="1"/>
    <col min="196" max="196" width="5.28515625" style="137" bestFit="1" customWidth="1"/>
    <col min="197" max="197" width="14.42578125" style="135"/>
    <col min="198" max="198" width="36" style="137" bestFit="1" customWidth="1"/>
    <col min="199" max="199" width="16.28515625" style="137" bestFit="1" customWidth="1"/>
    <col min="200" max="200" width="2.140625" style="137" bestFit="1" customWidth="1"/>
    <col min="201" max="201" width="2" style="137" bestFit="1" customWidth="1"/>
    <col min="202" max="202" width="9.85546875" style="137" bestFit="1" customWidth="1"/>
    <col min="203" max="203" width="5.28515625" style="137" bestFit="1" customWidth="1"/>
    <col min="204" max="204" width="9.28515625" style="135" customWidth="1"/>
    <col min="205" max="205" width="43.42578125" style="7" customWidth="1"/>
    <col min="206" max="206" width="16.28515625" style="7" bestFit="1" customWidth="1"/>
    <col min="207" max="207" width="2.140625" style="7" bestFit="1" customWidth="1"/>
    <col min="208" max="208" width="2" style="7" bestFit="1" customWidth="1"/>
    <col min="209" max="209" width="9" style="7" customWidth="1"/>
    <col min="210" max="210" width="5.28515625" style="7" bestFit="1" customWidth="1"/>
    <col min="211" max="211" width="7" style="135" customWidth="1"/>
    <col min="212" max="212" width="41.140625" style="137" bestFit="1" customWidth="1"/>
    <col min="213" max="213" width="16.28515625" style="137" bestFit="1" customWidth="1"/>
    <col min="214" max="214" width="2.140625" style="137" bestFit="1" customWidth="1"/>
    <col min="215" max="215" width="2" style="137" bestFit="1" customWidth="1"/>
    <col min="216" max="216" width="9.85546875" style="137" bestFit="1" customWidth="1"/>
    <col min="217" max="217" width="5.28515625" style="137" bestFit="1" customWidth="1"/>
    <col min="218" max="218" width="6.42578125" style="135" customWidth="1"/>
    <col min="219" max="219" width="46.42578125" style="137" customWidth="1"/>
    <col min="220" max="220" width="16.28515625" style="137" bestFit="1" customWidth="1"/>
    <col min="221" max="221" width="2.140625" style="137" bestFit="1" customWidth="1"/>
    <col min="222" max="222" width="2" style="137" bestFit="1" customWidth="1"/>
    <col min="223" max="223" width="9.85546875" style="137" bestFit="1" customWidth="1"/>
    <col min="224" max="224" width="5.28515625" style="137" bestFit="1" customWidth="1"/>
    <col min="225" max="225" width="14.42578125" style="135"/>
    <col min="226" max="226" width="31.5703125" style="137" bestFit="1" customWidth="1"/>
    <col min="227" max="227" width="16.28515625" style="137" bestFit="1" customWidth="1"/>
    <col min="228" max="228" width="2.140625" style="137" bestFit="1" customWidth="1"/>
    <col min="229" max="229" width="2" style="137" bestFit="1" customWidth="1"/>
    <col min="230" max="230" width="9.85546875" style="137" bestFit="1" customWidth="1"/>
    <col min="231" max="231" width="5.28515625" style="137" bestFit="1" customWidth="1"/>
    <col min="232" max="232" width="14.42578125" style="135"/>
    <col min="233" max="233" width="22.85546875" style="137" bestFit="1" customWidth="1"/>
    <col min="234" max="234" width="16.28515625" style="137" bestFit="1" customWidth="1"/>
    <col min="235" max="235" width="2.140625" style="137" bestFit="1" customWidth="1"/>
    <col min="236" max="236" width="2" style="137" bestFit="1" customWidth="1"/>
    <col min="237" max="237" width="9.85546875" style="137" bestFit="1" customWidth="1"/>
    <col min="238" max="238" width="5.28515625" style="137" bestFit="1" customWidth="1"/>
    <col min="239" max="239" width="14.42578125" style="135" customWidth="1"/>
    <col min="240" max="240" width="22.85546875" style="137" bestFit="1" customWidth="1"/>
    <col min="241" max="241" width="16.28515625" style="137" bestFit="1" customWidth="1"/>
    <col min="242" max="242" width="2.140625" style="137" bestFit="1" customWidth="1"/>
    <col min="243" max="243" width="2" style="137" bestFit="1" customWidth="1"/>
    <col min="244" max="244" width="9.85546875" style="137" bestFit="1" customWidth="1"/>
    <col min="245" max="245" width="5.28515625" style="137" bestFit="1" customWidth="1"/>
    <col min="246" max="246" width="6.140625" style="135" customWidth="1"/>
    <col min="247" max="247" width="48.7109375" style="137" bestFit="1" customWidth="1"/>
    <col min="248" max="248" width="16.28515625" style="137" bestFit="1" customWidth="1"/>
    <col min="249" max="249" width="2.140625" style="137" bestFit="1" customWidth="1"/>
    <col min="250" max="250" width="2" style="137" bestFit="1" customWidth="1"/>
    <col min="251" max="251" width="9.85546875" style="137" bestFit="1" customWidth="1"/>
    <col min="252" max="252" width="5.28515625" style="137" bestFit="1" customWidth="1"/>
    <col min="253" max="253" width="7.42578125" style="135" customWidth="1"/>
    <col min="254" max="254" width="34.28515625" style="7" customWidth="1"/>
    <col min="255" max="255" width="16.28515625" style="7" bestFit="1" customWidth="1"/>
    <col min="256" max="256" width="2.140625" style="7" bestFit="1" customWidth="1"/>
    <col min="257" max="257" width="2" style="7" bestFit="1" customWidth="1"/>
    <col min="258" max="258" width="9.85546875" style="7" bestFit="1" customWidth="1"/>
    <col min="259" max="259" width="8.7109375" style="7" customWidth="1"/>
    <col min="260" max="260" width="8.7109375" style="135" customWidth="1"/>
    <col min="261" max="261" width="43.140625" style="7" customWidth="1"/>
    <col min="262" max="262" width="16.28515625" style="7" bestFit="1" customWidth="1"/>
    <col min="263" max="263" width="2.140625" style="7" bestFit="1" customWidth="1"/>
    <col min="264" max="264" width="2" style="7" bestFit="1" customWidth="1"/>
    <col min="265" max="265" width="9.85546875" style="7" bestFit="1" customWidth="1"/>
    <col min="266" max="266" width="5.28515625" style="7" bestFit="1" customWidth="1"/>
    <col min="267" max="267" width="6" style="135" customWidth="1"/>
    <col min="268" max="268" width="47.28515625" style="137" customWidth="1"/>
    <col min="269" max="269" width="16.28515625" style="137" bestFit="1" customWidth="1"/>
    <col min="270" max="270" width="2.140625" style="137" bestFit="1" customWidth="1"/>
    <col min="271" max="271" width="2" style="137" bestFit="1" customWidth="1"/>
    <col min="272" max="272" width="9.85546875" style="137" bestFit="1" customWidth="1"/>
    <col min="273" max="273" width="5.28515625" style="137" bestFit="1" customWidth="1"/>
    <col min="274" max="274" width="14.42578125" style="135"/>
    <col min="275" max="275" width="22.85546875" style="7" bestFit="1" customWidth="1"/>
    <col min="276" max="276" width="16.28515625" style="7" bestFit="1" customWidth="1"/>
    <col min="277" max="277" width="2.140625" style="7" bestFit="1" customWidth="1"/>
    <col min="278" max="278" width="2" style="7" bestFit="1" customWidth="1"/>
    <col min="279" max="279" width="9.85546875" style="7" bestFit="1" customWidth="1"/>
    <col min="280" max="280" width="5.28515625" style="7" bestFit="1" customWidth="1"/>
    <col min="281" max="281" width="7.5703125" style="135" customWidth="1"/>
    <col min="282" max="282" width="53.28515625" style="7" customWidth="1"/>
    <col min="283" max="283" width="16.28515625" style="7" bestFit="1" customWidth="1"/>
    <col min="284" max="284" width="2.140625" style="7" bestFit="1" customWidth="1"/>
    <col min="285" max="285" width="2" style="7" bestFit="1" customWidth="1"/>
    <col min="286" max="286" width="9.85546875" style="7" bestFit="1" customWidth="1"/>
    <col min="287" max="287" width="5.28515625" style="7" bestFit="1" customWidth="1"/>
    <col min="288" max="288" width="7.5703125" style="135" customWidth="1"/>
    <col min="289" max="289" width="41.85546875" style="137" customWidth="1"/>
    <col min="290" max="290" width="16.28515625" style="137" bestFit="1" customWidth="1"/>
    <col min="291" max="291" width="2.140625" style="137" bestFit="1" customWidth="1"/>
    <col min="292" max="292" width="2" style="137" bestFit="1" customWidth="1"/>
    <col min="293" max="293" width="9.85546875" style="137" bestFit="1" customWidth="1"/>
    <col min="294" max="294" width="5.28515625" style="137" bestFit="1" customWidth="1"/>
    <col min="295" max="295" width="5.5703125" style="135" customWidth="1"/>
    <col min="296" max="296" width="46.5703125" style="7" customWidth="1"/>
    <col min="297" max="297" width="16.28515625" style="7" bestFit="1" customWidth="1"/>
    <col min="298" max="298" width="2.140625" style="7" bestFit="1" customWidth="1"/>
    <col min="299" max="299" width="2" style="7" bestFit="1" customWidth="1"/>
    <col min="300" max="300" width="9.85546875" style="7" bestFit="1" customWidth="1"/>
    <col min="301" max="301" width="5.28515625" style="7" bestFit="1" customWidth="1"/>
    <col min="302" max="302" width="7.5703125" style="135" customWidth="1"/>
    <col min="303" max="303" width="43.42578125" style="7" customWidth="1"/>
    <col min="304" max="304" width="16.28515625" style="7" bestFit="1" customWidth="1"/>
    <col min="305" max="305" width="2.140625" style="7" bestFit="1" customWidth="1"/>
    <col min="306" max="306" width="2" style="7" bestFit="1" customWidth="1"/>
    <col min="307" max="307" width="9.85546875" style="7" bestFit="1" customWidth="1"/>
    <col min="308" max="308" width="5.28515625" style="7" bestFit="1" customWidth="1"/>
    <col min="309" max="309" width="5.5703125" style="135" customWidth="1"/>
    <col min="310" max="310" width="46.28515625" style="135" customWidth="1"/>
    <col min="311" max="311" width="16.28515625" style="135" bestFit="1" customWidth="1"/>
    <col min="312" max="312" width="3.7109375" style="135" customWidth="1"/>
    <col min="313" max="313" width="2" style="135" bestFit="1" customWidth="1"/>
    <col min="314" max="314" width="9.85546875" style="135" bestFit="1" customWidth="1"/>
    <col min="315" max="315" width="5.28515625" style="135" bestFit="1" customWidth="1"/>
    <col min="316" max="316" width="5.140625" style="135" customWidth="1"/>
    <col min="317" max="317" width="45" style="135" customWidth="1"/>
    <col min="318" max="318" width="16.7109375" style="135" customWidth="1"/>
    <col min="319" max="319" width="2.28515625" style="135" customWidth="1"/>
    <col min="320" max="320" width="2" style="135" bestFit="1" customWidth="1"/>
    <col min="321" max="321" width="9.85546875" style="135" bestFit="1" customWidth="1"/>
    <col min="322" max="322" width="5.28515625" style="135" bestFit="1" customWidth="1"/>
    <col min="323" max="323" width="3.7109375" style="135" customWidth="1"/>
    <col min="324" max="324" width="50" style="135" customWidth="1"/>
    <col min="325" max="325" width="16.28515625" style="135" bestFit="1" customWidth="1"/>
    <col min="326" max="326" width="2.140625" style="135" bestFit="1" customWidth="1"/>
    <col min="327" max="327" width="2" style="135" bestFit="1" customWidth="1"/>
    <col min="328" max="328" width="9.85546875" style="135" bestFit="1" customWidth="1"/>
    <col min="329" max="329" width="5.28515625" style="135" bestFit="1" customWidth="1"/>
    <col min="330" max="330" width="3.85546875" style="135" customWidth="1"/>
    <col min="331" max="331" width="48.5703125" style="135" customWidth="1"/>
    <col min="332" max="332" width="16.28515625" style="135" bestFit="1" customWidth="1"/>
    <col min="333" max="333" width="2.140625" style="135" bestFit="1" customWidth="1"/>
    <col min="334" max="334" width="2" style="135" bestFit="1" customWidth="1"/>
    <col min="335" max="335" width="9.85546875" style="135" bestFit="1" customWidth="1"/>
    <col min="336" max="336" width="5.28515625" style="135" bestFit="1" customWidth="1"/>
    <col min="337" max="337" width="4.7109375" style="135" customWidth="1"/>
    <col min="338" max="338" width="46.85546875" style="135" customWidth="1"/>
    <col min="339" max="339" width="16.28515625" style="135" bestFit="1" customWidth="1"/>
    <col min="340" max="340" width="2.140625" style="135" bestFit="1" customWidth="1"/>
    <col min="341" max="341" width="2" style="135" bestFit="1" customWidth="1"/>
    <col min="342" max="342" width="9.85546875" style="135" bestFit="1" customWidth="1"/>
    <col min="343" max="343" width="5.28515625" style="135" bestFit="1" customWidth="1"/>
    <col min="344" max="344" width="3.85546875" style="135" customWidth="1"/>
    <col min="345" max="345" width="47.42578125" style="135" customWidth="1"/>
    <col min="346" max="346" width="16.28515625" style="135" bestFit="1" customWidth="1"/>
    <col min="347" max="347" width="2.140625" style="135" bestFit="1" customWidth="1"/>
    <col min="348" max="348" width="2" style="135" bestFit="1" customWidth="1"/>
    <col min="349" max="349" width="9.85546875" style="135" bestFit="1" customWidth="1"/>
    <col min="350" max="350" width="5.28515625" style="135" bestFit="1" customWidth="1"/>
    <col min="351" max="351" width="14.42578125" style="135"/>
    <col min="352" max="352" width="22.85546875" style="135" bestFit="1" customWidth="1"/>
    <col min="353" max="353" width="16.28515625" style="135" bestFit="1" customWidth="1"/>
    <col min="354" max="354" width="2.140625" style="135" bestFit="1" customWidth="1"/>
    <col min="355" max="355" width="2" style="135" bestFit="1" customWidth="1"/>
    <col min="356" max="356" width="9.85546875" style="135" bestFit="1" customWidth="1"/>
    <col min="357" max="357" width="5.28515625" style="135" bestFit="1" customWidth="1"/>
    <col min="358" max="16384" width="14.42578125" style="135"/>
  </cols>
  <sheetData>
    <row r="1" spans="1:14" ht="15.75" x14ac:dyDescent="0.25">
      <c r="A1" s="424" t="str">
        <f>'ROTA 1 - ÔNIBUS'!A1</f>
        <v>MEDIANEIRA/PR - PREGÃO ELETRÔNICO 67/2024</v>
      </c>
      <c r="B1" s="424"/>
      <c r="C1" s="424"/>
      <c r="D1" s="424"/>
      <c r="E1" s="424"/>
    </row>
    <row r="2" spans="1:14" ht="15" x14ac:dyDescent="0.25">
      <c r="A2" s="427" t="s">
        <v>212</v>
      </c>
      <c r="B2" s="428" t="s">
        <v>255</v>
      </c>
      <c r="C2" s="427" t="s">
        <v>256</v>
      </c>
      <c r="D2" s="365" t="s">
        <v>257</v>
      </c>
      <c r="E2" s="367" t="s">
        <v>259</v>
      </c>
      <c r="F2" s="138"/>
      <c r="G2" s="138"/>
      <c r="I2" s="138"/>
      <c r="J2" s="138"/>
      <c r="K2" s="138"/>
      <c r="L2" s="138"/>
      <c r="M2" s="138"/>
      <c r="N2" s="138"/>
    </row>
    <row r="3" spans="1:14" ht="15" x14ac:dyDescent="0.25">
      <c r="A3" s="427"/>
      <c r="B3" s="428"/>
      <c r="C3" s="427"/>
      <c r="D3" s="366" t="s">
        <v>258</v>
      </c>
      <c r="E3" s="368" t="s">
        <v>11</v>
      </c>
      <c r="F3" s="138"/>
      <c r="G3" s="138"/>
      <c r="I3" s="138"/>
      <c r="J3" s="138"/>
      <c r="K3" s="138"/>
      <c r="L3" s="138"/>
      <c r="M3" s="138"/>
      <c r="N3" s="138"/>
    </row>
    <row r="4" spans="1:14" ht="15" x14ac:dyDescent="0.25">
      <c r="A4" s="360" t="s">
        <v>260</v>
      </c>
      <c r="B4" s="426" t="s">
        <v>106</v>
      </c>
      <c r="C4" s="426">
        <v>35</v>
      </c>
      <c r="D4" s="425">
        <v>44</v>
      </c>
      <c r="E4" s="425">
        <f>C4*D4</f>
        <v>1540</v>
      </c>
      <c r="F4" s="138"/>
      <c r="G4" s="138"/>
      <c r="I4" s="138"/>
      <c r="J4" s="138"/>
      <c r="K4" s="138"/>
      <c r="L4" s="138"/>
      <c r="M4" s="138"/>
      <c r="N4" s="138"/>
    </row>
    <row r="5" spans="1:14" ht="15" x14ac:dyDescent="0.25">
      <c r="A5" s="361" t="s">
        <v>105</v>
      </c>
      <c r="B5" s="426"/>
      <c r="C5" s="426"/>
      <c r="D5" s="426"/>
      <c r="E5" s="426"/>
      <c r="F5" s="138"/>
      <c r="G5" s="138"/>
      <c r="I5" s="138"/>
      <c r="J5" s="138"/>
      <c r="K5" s="138"/>
      <c r="L5" s="138"/>
      <c r="M5" s="138"/>
      <c r="N5" s="138"/>
    </row>
    <row r="6" spans="1:14" ht="42.75" x14ac:dyDescent="0.25">
      <c r="A6" s="361" t="s">
        <v>261</v>
      </c>
      <c r="B6" s="426"/>
      <c r="C6" s="426"/>
      <c r="D6" s="426"/>
      <c r="E6" s="426"/>
      <c r="F6" s="138"/>
      <c r="G6" s="138"/>
      <c r="I6" s="138"/>
      <c r="J6" s="138"/>
      <c r="K6" s="138"/>
      <c r="L6" s="138"/>
      <c r="M6" s="138"/>
      <c r="N6" s="138"/>
    </row>
    <row r="7" spans="1:14" ht="15" x14ac:dyDescent="0.25">
      <c r="A7" s="362" t="s">
        <v>336</v>
      </c>
      <c r="B7" s="426" t="s">
        <v>106</v>
      </c>
      <c r="C7" s="426">
        <v>55</v>
      </c>
      <c r="D7" s="426">
        <v>44</v>
      </c>
      <c r="E7" s="426">
        <f>D7*C7</f>
        <v>2420</v>
      </c>
      <c r="F7" s="138"/>
      <c r="G7" s="138"/>
      <c r="I7" s="138"/>
      <c r="J7" s="138"/>
      <c r="K7" s="138"/>
      <c r="L7" s="138"/>
      <c r="M7" s="138"/>
      <c r="N7" s="138"/>
    </row>
    <row r="8" spans="1:14" ht="15" x14ac:dyDescent="0.25">
      <c r="A8" s="363"/>
      <c r="B8" s="426"/>
      <c r="C8" s="426"/>
      <c r="D8" s="426"/>
      <c r="E8" s="426"/>
      <c r="F8" s="138"/>
      <c r="G8" s="138"/>
      <c r="I8" s="138"/>
      <c r="J8" s="138"/>
      <c r="K8" s="138"/>
      <c r="L8" s="138"/>
      <c r="M8" s="138"/>
      <c r="N8" s="138"/>
    </row>
    <row r="9" spans="1:14" ht="42.75" x14ac:dyDescent="0.25">
      <c r="A9" s="364" t="s">
        <v>335</v>
      </c>
      <c r="B9" s="426"/>
      <c r="C9" s="426"/>
      <c r="D9" s="426"/>
      <c r="E9" s="426"/>
      <c r="F9" s="138"/>
      <c r="G9" s="138"/>
      <c r="I9" s="138"/>
      <c r="J9" s="138"/>
      <c r="K9" s="138"/>
      <c r="L9" s="138"/>
      <c r="M9" s="138"/>
      <c r="N9" s="138"/>
    </row>
    <row r="10" spans="1:14" ht="15.75" thickBot="1" x14ac:dyDescent="0.3">
      <c r="A10" s="138"/>
      <c r="B10" s="138"/>
      <c r="C10" s="138"/>
      <c r="D10" s="138"/>
      <c r="E10" s="138"/>
      <c r="F10" s="138"/>
      <c r="G10" s="138"/>
      <c r="I10" s="138"/>
      <c r="J10" s="138"/>
      <c r="K10" s="138"/>
      <c r="L10" s="138"/>
      <c r="M10" s="138"/>
      <c r="N10" s="138"/>
    </row>
    <row r="11" spans="1:14" ht="15" x14ac:dyDescent="0.25">
      <c r="A11" s="270" t="s">
        <v>262</v>
      </c>
      <c r="B11" s="138"/>
      <c r="C11" s="138"/>
      <c r="D11" s="138"/>
      <c r="E11" s="138"/>
      <c r="F11" s="138"/>
      <c r="G11" s="138"/>
      <c r="I11" s="138"/>
      <c r="J11" s="138"/>
      <c r="K11" s="138"/>
      <c r="L11" s="138"/>
      <c r="M11" s="138"/>
      <c r="N11" s="138"/>
    </row>
    <row r="12" spans="1:14" ht="15" x14ac:dyDescent="0.25">
      <c r="A12" s="264" t="s">
        <v>263</v>
      </c>
      <c r="B12" s="138"/>
      <c r="C12" s="138"/>
      <c r="D12" s="138"/>
      <c r="E12" s="138"/>
      <c r="F12" s="138"/>
      <c r="G12" s="138"/>
      <c r="I12" s="138"/>
      <c r="J12" s="138"/>
      <c r="K12" s="138"/>
      <c r="L12" s="138"/>
      <c r="M12" s="138"/>
      <c r="N12" s="138"/>
    </row>
    <row r="13" spans="1:14" ht="15" x14ac:dyDescent="0.25">
      <c r="A13" s="265" t="s">
        <v>264</v>
      </c>
      <c r="B13" s="138"/>
      <c r="C13" s="138"/>
      <c r="D13" s="138"/>
      <c r="E13" s="138"/>
      <c r="F13" s="138"/>
      <c r="G13" s="138"/>
      <c r="I13" s="138"/>
      <c r="J13" s="138"/>
      <c r="K13" s="138"/>
      <c r="L13" s="138"/>
      <c r="M13" s="138"/>
      <c r="N13" s="138"/>
    </row>
    <row r="14" spans="1:14" ht="15" x14ac:dyDescent="0.25">
      <c r="A14" s="265" t="s">
        <v>265</v>
      </c>
      <c r="B14" s="138"/>
      <c r="C14" s="138"/>
      <c r="D14" s="138"/>
      <c r="E14" s="138"/>
      <c r="F14" s="138"/>
      <c r="G14" s="138"/>
      <c r="I14" s="138"/>
      <c r="J14" s="138"/>
      <c r="K14" s="138"/>
      <c r="L14" s="138"/>
      <c r="M14" s="138"/>
      <c r="N14" s="138"/>
    </row>
    <row r="15" spans="1:14" ht="15" x14ac:dyDescent="0.25">
      <c r="A15" s="265" t="s">
        <v>266</v>
      </c>
      <c r="F15" s="138"/>
      <c r="G15" s="138"/>
      <c r="I15" s="138"/>
      <c r="J15" s="138"/>
      <c r="K15" s="138"/>
      <c r="L15" s="138"/>
      <c r="M15" s="138"/>
      <c r="N15" s="138"/>
    </row>
    <row r="16" spans="1:14" ht="15" x14ac:dyDescent="0.25">
      <c r="A16" s="265" t="s">
        <v>267</v>
      </c>
      <c r="F16" s="138"/>
      <c r="G16" s="138"/>
      <c r="I16" s="138"/>
      <c r="J16" s="138"/>
      <c r="K16" s="138"/>
      <c r="L16" s="138"/>
      <c r="M16" s="138"/>
      <c r="N16" s="138"/>
    </row>
    <row r="17" spans="1:14" ht="15" x14ac:dyDescent="0.25">
      <c r="A17" s="265" t="s">
        <v>268</v>
      </c>
      <c r="F17" s="138"/>
      <c r="G17" s="138"/>
      <c r="I17" s="138"/>
      <c r="J17" s="138"/>
      <c r="K17" s="138"/>
      <c r="L17" s="138"/>
      <c r="M17" s="138"/>
      <c r="N17" s="138"/>
    </row>
    <row r="18" spans="1:14" ht="15" x14ac:dyDescent="0.25">
      <c r="A18" s="265" t="s">
        <v>269</v>
      </c>
      <c r="F18" s="138"/>
      <c r="G18" s="138"/>
      <c r="I18" s="138"/>
      <c r="J18" s="138"/>
      <c r="K18" s="138"/>
      <c r="L18" s="138"/>
      <c r="M18" s="138"/>
      <c r="N18" s="138"/>
    </row>
    <row r="19" spans="1:14" ht="15" x14ac:dyDescent="0.25">
      <c r="A19" s="265" t="s">
        <v>270</v>
      </c>
      <c r="I19" s="138"/>
      <c r="J19" s="138"/>
      <c r="K19" s="138"/>
      <c r="L19" s="138"/>
      <c r="M19" s="138"/>
      <c r="N19" s="138"/>
    </row>
    <row r="20" spans="1:14" ht="15" x14ac:dyDescent="0.25">
      <c r="A20" s="265" t="s">
        <v>271</v>
      </c>
      <c r="I20" s="138"/>
      <c r="J20" s="138"/>
      <c r="K20" s="138"/>
      <c r="L20" s="138"/>
      <c r="M20" s="138"/>
      <c r="N20" s="138"/>
    </row>
    <row r="21" spans="1:14" ht="15" x14ac:dyDescent="0.25">
      <c r="A21" s="265" t="s">
        <v>272</v>
      </c>
      <c r="I21" s="138"/>
      <c r="J21" s="138"/>
      <c r="K21" s="138"/>
      <c r="L21" s="138"/>
      <c r="M21" s="138"/>
      <c r="N21" s="138"/>
    </row>
    <row r="22" spans="1:14" ht="15" x14ac:dyDescent="0.25">
      <c r="A22" s="265" t="s">
        <v>273</v>
      </c>
      <c r="I22" s="138"/>
      <c r="J22" s="138"/>
      <c r="K22" s="138"/>
      <c r="L22" s="138"/>
      <c r="M22" s="138"/>
      <c r="N22" s="138"/>
    </row>
    <row r="23" spans="1:14" ht="15" x14ac:dyDescent="0.25">
      <c r="A23" s="265" t="s">
        <v>274</v>
      </c>
      <c r="I23" s="138"/>
      <c r="J23" s="138"/>
      <c r="K23" s="138"/>
      <c r="L23" s="138"/>
      <c r="M23" s="138"/>
      <c r="N23" s="138"/>
    </row>
    <row r="24" spans="1:14" ht="15" x14ac:dyDescent="0.25">
      <c r="A24" s="265" t="s">
        <v>275</v>
      </c>
      <c r="I24" s="138"/>
      <c r="J24" s="138"/>
      <c r="K24" s="138"/>
      <c r="L24" s="138"/>
      <c r="M24" s="138"/>
      <c r="N24" s="138"/>
    </row>
    <row r="25" spans="1:14" ht="15" x14ac:dyDescent="0.25">
      <c r="A25" s="265" t="s">
        <v>276</v>
      </c>
      <c r="I25" s="138"/>
      <c r="J25" s="138"/>
      <c r="K25" s="138"/>
      <c r="L25" s="138"/>
      <c r="M25" s="138"/>
      <c r="N25" s="138"/>
    </row>
    <row r="26" spans="1:14" ht="15" x14ac:dyDescent="0.25">
      <c r="A26" s="265" t="s">
        <v>277</v>
      </c>
      <c r="I26" s="138"/>
      <c r="J26" s="138"/>
      <c r="K26" s="138"/>
      <c r="L26" s="138"/>
      <c r="M26" s="138"/>
      <c r="N26" s="138"/>
    </row>
    <row r="27" spans="1:14" ht="14.25" x14ac:dyDescent="0.2">
      <c r="A27" s="265" t="s">
        <v>278</v>
      </c>
    </row>
    <row r="28" spans="1:14" ht="14.25" x14ac:dyDescent="0.2">
      <c r="A28" s="265" t="s">
        <v>279</v>
      </c>
    </row>
    <row r="29" spans="1:14" ht="14.25" x14ac:dyDescent="0.2">
      <c r="A29" s="265" t="s">
        <v>280</v>
      </c>
    </row>
    <row r="30" spans="1:14" ht="14.25" x14ac:dyDescent="0.2">
      <c r="A30" s="265" t="s">
        <v>281</v>
      </c>
    </row>
    <row r="31" spans="1:14" ht="14.25" x14ac:dyDescent="0.2">
      <c r="A31" s="265" t="s">
        <v>282</v>
      </c>
    </row>
    <row r="32" spans="1:14" ht="14.25" x14ac:dyDescent="0.2">
      <c r="A32" s="265" t="s">
        <v>283</v>
      </c>
    </row>
    <row r="33" spans="1:1" ht="14.25" x14ac:dyDescent="0.2">
      <c r="A33" s="265" t="s">
        <v>284</v>
      </c>
    </row>
    <row r="34" spans="1:1" ht="14.25" x14ac:dyDescent="0.2">
      <c r="A34" s="265" t="s">
        <v>285</v>
      </c>
    </row>
    <row r="35" spans="1:1" ht="15" thickBot="1" x14ac:dyDescent="0.25">
      <c r="A35" s="266" t="s">
        <v>286</v>
      </c>
    </row>
    <row r="36" spans="1:1" ht="15" x14ac:dyDescent="0.2">
      <c r="A36" s="269" t="s">
        <v>287</v>
      </c>
    </row>
    <row r="37" spans="1:1" ht="14.25" x14ac:dyDescent="0.2">
      <c r="A37" s="264" t="s">
        <v>263</v>
      </c>
    </row>
    <row r="38" spans="1:1" ht="14.25" x14ac:dyDescent="0.2">
      <c r="A38" s="267" t="s">
        <v>288</v>
      </c>
    </row>
    <row r="39" spans="1:1" ht="14.25" x14ac:dyDescent="0.2">
      <c r="A39" s="267" t="s">
        <v>289</v>
      </c>
    </row>
    <row r="40" spans="1:1" ht="14.25" x14ac:dyDescent="0.2">
      <c r="A40" s="267" t="s">
        <v>290</v>
      </c>
    </row>
    <row r="41" spans="1:1" ht="14.25" x14ac:dyDescent="0.2">
      <c r="A41" s="267" t="s">
        <v>291</v>
      </c>
    </row>
    <row r="42" spans="1:1" ht="14.25" x14ac:dyDescent="0.2">
      <c r="A42" s="267" t="s">
        <v>292</v>
      </c>
    </row>
    <row r="43" spans="1:1" ht="14.25" x14ac:dyDescent="0.2">
      <c r="A43" s="267" t="s">
        <v>293</v>
      </c>
    </row>
    <row r="44" spans="1:1" ht="14.25" x14ac:dyDescent="0.2">
      <c r="A44" s="267" t="s">
        <v>294</v>
      </c>
    </row>
    <row r="45" spans="1:1" ht="14.25" x14ac:dyDescent="0.2">
      <c r="A45" s="267" t="s">
        <v>295</v>
      </c>
    </row>
    <row r="46" spans="1:1" ht="14.25" x14ac:dyDescent="0.2">
      <c r="A46" s="267" t="s">
        <v>296</v>
      </c>
    </row>
    <row r="47" spans="1:1" ht="14.25" x14ac:dyDescent="0.2">
      <c r="A47" s="267" t="s">
        <v>297</v>
      </c>
    </row>
    <row r="48" spans="1:1" ht="14.25" x14ac:dyDescent="0.2">
      <c r="A48" s="267" t="s">
        <v>298</v>
      </c>
    </row>
    <row r="49" spans="1:1" ht="14.25" x14ac:dyDescent="0.2">
      <c r="A49" s="267" t="s">
        <v>299</v>
      </c>
    </row>
    <row r="50" spans="1:1" ht="14.25" x14ac:dyDescent="0.2">
      <c r="A50" s="267" t="s">
        <v>300</v>
      </c>
    </row>
    <row r="51" spans="1:1" ht="14.25" x14ac:dyDescent="0.2">
      <c r="A51" s="267" t="s">
        <v>301</v>
      </c>
    </row>
    <row r="52" spans="1:1" ht="14.25" x14ac:dyDescent="0.2">
      <c r="A52" s="267" t="s">
        <v>302</v>
      </c>
    </row>
    <row r="53" spans="1:1" ht="14.25" x14ac:dyDescent="0.2">
      <c r="A53" s="267" t="s">
        <v>303</v>
      </c>
    </row>
    <row r="54" spans="1:1" ht="14.25" x14ac:dyDescent="0.2">
      <c r="A54" s="267" t="s">
        <v>304</v>
      </c>
    </row>
    <row r="55" spans="1:1" ht="14.25" x14ac:dyDescent="0.2">
      <c r="A55" s="267" t="s">
        <v>305</v>
      </c>
    </row>
    <row r="56" spans="1:1" ht="14.25" x14ac:dyDescent="0.2">
      <c r="A56" s="267" t="s">
        <v>306</v>
      </c>
    </row>
    <row r="57" spans="1:1" ht="14.25" x14ac:dyDescent="0.2">
      <c r="A57" s="267" t="s">
        <v>307</v>
      </c>
    </row>
    <row r="58" spans="1:1" ht="14.25" x14ac:dyDescent="0.2">
      <c r="A58" s="267" t="s">
        <v>308</v>
      </c>
    </row>
    <row r="59" spans="1:1" ht="14.25" x14ac:dyDescent="0.2">
      <c r="A59" s="267" t="s">
        <v>309</v>
      </c>
    </row>
    <row r="60" spans="1:1" ht="14.25" x14ac:dyDescent="0.2">
      <c r="A60" s="267" t="s">
        <v>310</v>
      </c>
    </row>
    <row r="61" spans="1:1" ht="14.25" x14ac:dyDescent="0.2">
      <c r="A61" s="267" t="s">
        <v>311</v>
      </c>
    </row>
    <row r="62" spans="1:1" ht="14.25" x14ac:dyDescent="0.2">
      <c r="A62" s="267" t="s">
        <v>312</v>
      </c>
    </row>
    <row r="63" spans="1:1" ht="14.25" x14ac:dyDescent="0.2">
      <c r="A63" s="267" t="s">
        <v>313</v>
      </c>
    </row>
    <row r="64" spans="1:1" ht="15" thickBot="1" x14ac:dyDescent="0.25">
      <c r="A64" s="268" t="s">
        <v>314</v>
      </c>
    </row>
  </sheetData>
  <mergeCells count="12">
    <mergeCell ref="A1:E1"/>
    <mergeCell ref="E4:E6"/>
    <mergeCell ref="E7:E9"/>
    <mergeCell ref="B7:B9"/>
    <mergeCell ref="D7:D9"/>
    <mergeCell ref="C4:C6"/>
    <mergeCell ref="C7:C9"/>
    <mergeCell ref="A2:A3"/>
    <mergeCell ref="B2:B3"/>
    <mergeCell ref="C2:C3"/>
    <mergeCell ref="B4:B6"/>
    <mergeCell ref="D4:D6"/>
  </mergeCells>
  <pageMargins left="0.25" right="0.25" top="0.75" bottom="0.75" header="0.3" footer="0.3"/>
  <pageSetup paperSize="9" scale="6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pageSetUpPr fitToPage="1"/>
  </sheetPr>
  <dimension ref="A1:L94"/>
  <sheetViews>
    <sheetView workbookViewId="0">
      <selection sqref="A1:C1"/>
    </sheetView>
  </sheetViews>
  <sheetFormatPr defaultColWidth="14.42578125" defaultRowHeight="15" customHeight="1" x14ac:dyDescent="0.2"/>
  <cols>
    <col min="1" max="1" width="13.5703125" customWidth="1"/>
    <col min="2" max="2" width="39.5703125" customWidth="1"/>
    <col min="3" max="3" width="20.85546875" customWidth="1"/>
    <col min="4" max="4" width="5.7109375" customWidth="1"/>
    <col min="5" max="10" width="9.140625" customWidth="1"/>
    <col min="11" max="11" width="11" customWidth="1"/>
    <col min="12" max="12" width="9.140625" customWidth="1"/>
  </cols>
  <sheetData>
    <row r="1" spans="1:12" ht="12.75" customHeight="1" thickBot="1" x14ac:dyDescent="0.25">
      <c r="A1" s="432" t="str">
        <f>'ROTA 1 - ÔNIBUS'!A1</f>
        <v>MEDIANEIRA/PR - PREGÃO ELETRÔNICO 67/2024</v>
      </c>
      <c r="B1" s="432"/>
      <c r="C1" s="432"/>
      <c r="D1" s="6"/>
      <c r="E1" s="6"/>
      <c r="F1" s="6"/>
      <c r="G1" s="6"/>
      <c r="H1" s="6"/>
      <c r="I1" s="6"/>
      <c r="J1" s="6"/>
      <c r="K1" s="6"/>
      <c r="L1" s="6"/>
    </row>
    <row r="2" spans="1:12" ht="17.25" customHeight="1" x14ac:dyDescent="0.2">
      <c r="A2" s="429" t="s">
        <v>107</v>
      </c>
      <c r="B2" s="430"/>
      <c r="C2" s="431"/>
      <c r="D2" s="139"/>
      <c r="E2" s="139"/>
      <c r="F2" s="139"/>
      <c r="G2" s="6"/>
      <c r="H2" s="6"/>
      <c r="I2" s="6"/>
      <c r="J2" s="6"/>
      <c r="K2" s="6"/>
      <c r="L2" s="6"/>
    </row>
    <row r="3" spans="1:12" ht="13.5" customHeight="1" x14ac:dyDescent="0.2">
      <c r="A3" s="140" t="s">
        <v>108</v>
      </c>
      <c r="B3" s="141" t="s">
        <v>109</v>
      </c>
      <c r="C3" s="142" t="s">
        <v>68</v>
      </c>
      <c r="D3" s="143"/>
      <c r="E3" s="6"/>
      <c r="F3" s="6"/>
      <c r="G3" s="6"/>
      <c r="H3" s="6"/>
      <c r="I3" s="6"/>
      <c r="J3" s="6"/>
      <c r="K3" s="6"/>
      <c r="L3" s="6"/>
    </row>
    <row r="4" spans="1:12" ht="13.5" customHeight="1" x14ac:dyDescent="0.2">
      <c r="A4" s="140" t="s">
        <v>110</v>
      </c>
      <c r="B4" s="144" t="s">
        <v>111</v>
      </c>
      <c r="C4" s="145">
        <v>0.2</v>
      </c>
      <c r="D4" s="143"/>
      <c r="E4" s="6"/>
      <c r="F4" s="6"/>
      <c r="G4" s="6"/>
      <c r="H4" s="6"/>
      <c r="I4" s="6"/>
      <c r="J4" s="6"/>
      <c r="K4" s="6"/>
      <c r="L4" s="6"/>
    </row>
    <row r="5" spans="1:12" ht="13.5" customHeight="1" x14ac:dyDescent="0.2">
      <c r="A5" s="140" t="s">
        <v>112</v>
      </c>
      <c r="B5" s="141" t="s">
        <v>113</v>
      </c>
      <c r="C5" s="146">
        <v>1.4999999999999999E-2</v>
      </c>
      <c r="D5" s="143"/>
      <c r="E5" s="6"/>
      <c r="F5" s="6"/>
      <c r="G5" s="6"/>
      <c r="H5" s="6"/>
      <c r="I5" s="6"/>
      <c r="J5" s="6"/>
      <c r="K5" s="6"/>
      <c r="L5" s="6"/>
    </row>
    <row r="6" spans="1:12" ht="13.5" customHeight="1" x14ac:dyDescent="0.2">
      <c r="A6" s="140" t="s">
        <v>114</v>
      </c>
      <c r="B6" s="141" t="s">
        <v>115</v>
      </c>
      <c r="C6" s="146">
        <v>0.01</v>
      </c>
      <c r="D6" s="143"/>
      <c r="E6" s="6"/>
      <c r="F6" s="6"/>
      <c r="G6" s="6"/>
      <c r="H6" s="6"/>
      <c r="I6" s="6"/>
      <c r="J6" s="6"/>
      <c r="K6" s="6"/>
      <c r="L6" s="6"/>
    </row>
    <row r="7" spans="1:12" ht="13.5" customHeight="1" x14ac:dyDescent="0.2">
      <c r="A7" s="140" t="s">
        <v>116</v>
      </c>
      <c r="B7" s="141" t="s">
        <v>117</v>
      </c>
      <c r="C7" s="146">
        <v>2E-3</v>
      </c>
      <c r="D7" s="143"/>
      <c r="E7" s="6"/>
      <c r="F7" s="6"/>
      <c r="G7" s="6"/>
      <c r="H7" s="6"/>
      <c r="I7" s="6"/>
      <c r="J7" s="6"/>
      <c r="K7" s="6"/>
      <c r="L7" s="6"/>
    </row>
    <row r="8" spans="1:12" ht="13.5" customHeight="1" x14ac:dyDescent="0.2">
      <c r="A8" s="140" t="s">
        <v>118</v>
      </c>
      <c r="B8" s="141" t="s">
        <v>119</v>
      </c>
      <c r="C8" s="146">
        <v>6.0000000000000001E-3</v>
      </c>
      <c r="D8" s="143"/>
      <c r="E8" s="6"/>
      <c r="F8" s="6"/>
      <c r="G8" s="6"/>
      <c r="H8" s="6"/>
      <c r="I8" s="6"/>
      <c r="J8" s="6"/>
      <c r="K8" s="6"/>
      <c r="L8" s="6"/>
    </row>
    <row r="9" spans="1:12" ht="13.5" customHeight="1" x14ac:dyDescent="0.2">
      <c r="A9" s="140" t="s">
        <v>120</v>
      </c>
      <c r="B9" s="141" t="s">
        <v>121</v>
      </c>
      <c r="C9" s="146">
        <v>2.5000000000000001E-2</v>
      </c>
      <c r="D9" s="143"/>
      <c r="E9" s="6"/>
      <c r="F9" s="6"/>
      <c r="G9" s="6"/>
      <c r="H9" s="6"/>
      <c r="I9" s="6"/>
      <c r="J9" s="6"/>
      <c r="K9" s="6"/>
      <c r="L9" s="6"/>
    </row>
    <row r="10" spans="1:12" ht="13.5" customHeight="1" x14ac:dyDescent="0.2">
      <c r="A10" s="140" t="s">
        <v>122</v>
      </c>
      <c r="B10" s="141" t="s">
        <v>123</v>
      </c>
      <c r="C10" s="146">
        <v>0.03</v>
      </c>
      <c r="D10" s="143"/>
      <c r="E10" s="6"/>
      <c r="F10" s="6"/>
      <c r="G10" s="6"/>
      <c r="H10" s="6"/>
      <c r="I10" s="6"/>
      <c r="J10" s="6"/>
      <c r="K10" s="6"/>
      <c r="L10" s="6"/>
    </row>
    <row r="11" spans="1:12" ht="13.5" customHeight="1" x14ac:dyDescent="0.2">
      <c r="A11" s="140" t="s">
        <v>124</v>
      </c>
      <c r="B11" s="141" t="s">
        <v>125</v>
      </c>
      <c r="C11" s="146">
        <v>0.08</v>
      </c>
      <c r="D11" s="143"/>
      <c r="E11" s="6"/>
      <c r="F11" s="6"/>
      <c r="G11" s="6"/>
      <c r="H11" s="6"/>
      <c r="I11" s="6"/>
      <c r="J11" s="6"/>
      <c r="K11" s="6"/>
      <c r="L11" s="6"/>
    </row>
    <row r="12" spans="1:12" ht="13.5" customHeight="1" x14ac:dyDescent="0.2">
      <c r="A12" s="140" t="s">
        <v>126</v>
      </c>
      <c r="B12" s="147" t="s">
        <v>127</v>
      </c>
      <c r="C12" s="148">
        <f>SUM(C4:C11)</f>
        <v>0.36800000000000005</v>
      </c>
      <c r="D12" s="143"/>
      <c r="E12" s="6"/>
      <c r="F12" s="6"/>
      <c r="G12" s="6"/>
      <c r="H12" s="6"/>
      <c r="I12" s="6"/>
      <c r="J12" s="6"/>
      <c r="K12" s="6"/>
      <c r="L12" s="6"/>
    </row>
    <row r="13" spans="1:12" ht="13.5" customHeight="1" x14ac:dyDescent="0.2">
      <c r="A13" s="149"/>
      <c r="B13" s="150"/>
      <c r="C13" s="151"/>
      <c r="D13" s="143"/>
      <c r="E13" s="6"/>
      <c r="F13" s="6"/>
      <c r="G13" s="6"/>
      <c r="H13" s="6"/>
      <c r="I13" s="6"/>
      <c r="J13" s="6"/>
      <c r="K13" s="6"/>
      <c r="L13" s="6"/>
    </row>
    <row r="14" spans="1:12" ht="13.5" customHeight="1" x14ac:dyDescent="0.2">
      <c r="A14" s="140" t="s">
        <v>128</v>
      </c>
      <c r="B14" s="141" t="s">
        <v>129</v>
      </c>
      <c r="C14" s="146">
        <v>2.7799999999999998E-2</v>
      </c>
      <c r="D14" s="143"/>
      <c r="E14" s="6"/>
      <c r="F14" s="6"/>
      <c r="G14" s="6"/>
      <c r="H14" s="6"/>
      <c r="I14" s="6"/>
      <c r="J14" s="6"/>
      <c r="K14" s="6"/>
      <c r="L14" s="6"/>
    </row>
    <row r="15" spans="1:12" ht="13.5" customHeight="1" x14ac:dyDescent="0.2">
      <c r="A15" s="140" t="s">
        <v>130</v>
      </c>
      <c r="B15" s="141" t="s">
        <v>131</v>
      </c>
      <c r="C15" s="146">
        <v>8.3299999999999999E-2</v>
      </c>
      <c r="D15" s="143"/>
      <c r="E15" s="6"/>
      <c r="F15" s="6"/>
      <c r="G15" s="6"/>
      <c r="H15" s="6"/>
      <c r="I15" s="6"/>
      <c r="J15" s="6"/>
      <c r="K15" s="6"/>
      <c r="L15" s="6"/>
    </row>
    <row r="16" spans="1:12" ht="13.5" customHeight="1" x14ac:dyDescent="0.2">
      <c r="A16" s="140" t="s">
        <v>132</v>
      </c>
      <c r="B16" s="141" t="s">
        <v>133</v>
      </c>
      <c r="C16" s="146">
        <v>5.9999999999999995E-4</v>
      </c>
      <c r="D16" s="143"/>
      <c r="E16" s="6"/>
      <c r="F16" s="6"/>
      <c r="G16" s="6"/>
      <c r="H16" s="6"/>
      <c r="I16" s="6"/>
      <c r="J16" s="6"/>
      <c r="K16" s="6"/>
      <c r="L16" s="6"/>
    </row>
    <row r="17" spans="1:12" ht="13.5" customHeight="1" x14ac:dyDescent="0.2">
      <c r="A17" s="140" t="s">
        <v>134</v>
      </c>
      <c r="B17" s="141" t="s">
        <v>135</v>
      </c>
      <c r="C17" s="146">
        <v>8.2000000000000007E-3</v>
      </c>
      <c r="D17" s="143"/>
      <c r="E17" s="6"/>
      <c r="F17" s="6"/>
      <c r="G17" s="6"/>
      <c r="H17" s="6"/>
      <c r="I17" s="6"/>
      <c r="J17" s="6"/>
      <c r="K17" s="6"/>
      <c r="L17" s="6"/>
    </row>
    <row r="18" spans="1:12" ht="13.5" customHeight="1" x14ac:dyDescent="0.2">
      <c r="A18" s="140" t="s">
        <v>136</v>
      </c>
      <c r="B18" s="141" t="s">
        <v>137</v>
      </c>
      <c r="C18" s="146">
        <v>3.0999999999999999E-3</v>
      </c>
      <c r="D18" s="143"/>
      <c r="E18" s="6"/>
      <c r="F18" s="6"/>
      <c r="G18" s="6"/>
      <c r="H18" s="6"/>
      <c r="I18" s="6"/>
      <c r="J18" s="6"/>
      <c r="K18" s="6"/>
      <c r="L18" s="6"/>
    </row>
    <row r="19" spans="1:12" ht="13.5" customHeight="1" x14ac:dyDescent="0.2">
      <c r="A19" s="140" t="s">
        <v>138</v>
      </c>
      <c r="B19" s="141" t="s">
        <v>139</v>
      </c>
      <c r="C19" s="146">
        <v>1.66E-2</v>
      </c>
      <c r="D19" s="143"/>
      <c r="E19" s="6"/>
      <c r="F19" s="6"/>
      <c r="G19" s="6"/>
      <c r="H19" s="6"/>
      <c r="I19" s="6"/>
      <c r="J19" s="6"/>
      <c r="K19" s="6"/>
      <c r="L19" s="6"/>
    </row>
    <row r="20" spans="1:12" ht="13.5" customHeight="1" x14ac:dyDescent="0.2">
      <c r="A20" s="140" t="s">
        <v>140</v>
      </c>
      <c r="B20" s="147" t="s">
        <v>141</v>
      </c>
      <c r="C20" s="148">
        <f>SUM(C14:C19)</f>
        <v>0.1396</v>
      </c>
      <c r="D20" s="152"/>
      <c r="E20" s="6"/>
      <c r="F20" s="6"/>
      <c r="G20" s="6"/>
      <c r="H20" s="6"/>
      <c r="I20" s="6"/>
      <c r="J20" s="6"/>
      <c r="K20" s="6"/>
      <c r="L20" s="6"/>
    </row>
    <row r="21" spans="1:12" ht="13.5" customHeight="1" x14ac:dyDescent="0.2">
      <c r="A21" s="149"/>
      <c r="B21" s="150"/>
      <c r="C21" s="151"/>
      <c r="D21" s="152"/>
      <c r="E21" s="6"/>
      <c r="F21" s="6"/>
      <c r="G21" s="6"/>
      <c r="H21" s="6"/>
      <c r="I21" s="6"/>
      <c r="J21" s="6"/>
      <c r="K21" s="6"/>
      <c r="L21" s="6"/>
    </row>
    <row r="22" spans="1:12" ht="13.5" customHeight="1" x14ac:dyDescent="0.2">
      <c r="A22" s="140" t="s">
        <v>142</v>
      </c>
      <c r="B22" s="141" t="s">
        <v>143</v>
      </c>
      <c r="C22" s="146">
        <v>2.9000000000000001E-2</v>
      </c>
      <c r="D22" s="143"/>
      <c r="E22" s="61"/>
      <c r="F22" s="6"/>
      <c r="G22" s="6"/>
      <c r="H22" s="6"/>
      <c r="I22" s="6"/>
      <c r="J22" s="6"/>
      <c r="K22" s="6"/>
      <c r="L22" s="6"/>
    </row>
    <row r="23" spans="1:12" ht="13.5" customHeight="1" x14ac:dyDescent="0.2">
      <c r="A23" s="140" t="s">
        <v>144</v>
      </c>
      <c r="B23" s="141" t="s">
        <v>145</v>
      </c>
      <c r="C23" s="146">
        <v>4.5400000000000003E-2</v>
      </c>
      <c r="D23" s="143"/>
      <c r="E23" s="6"/>
      <c r="F23" s="6"/>
      <c r="G23" s="6"/>
      <c r="H23" s="153"/>
      <c r="I23" s="6"/>
      <c r="J23" s="6"/>
      <c r="K23" s="6"/>
      <c r="L23" s="6"/>
    </row>
    <row r="24" spans="1:12" ht="13.5" customHeight="1" x14ac:dyDescent="0.2">
      <c r="A24" s="140" t="s">
        <v>146</v>
      </c>
      <c r="B24" s="141" t="s">
        <v>147</v>
      </c>
      <c r="C24" s="146">
        <f>C22*C23</f>
        <v>1.3166000000000002E-3</v>
      </c>
      <c r="D24" s="143"/>
      <c r="E24" s="61"/>
      <c r="F24" s="6"/>
      <c r="G24" s="6"/>
      <c r="H24" s="6"/>
      <c r="I24" s="6"/>
      <c r="J24" s="6"/>
      <c r="K24" s="6"/>
      <c r="L24" s="6"/>
    </row>
    <row r="25" spans="1:12" ht="13.5" customHeight="1" x14ac:dyDescent="0.2">
      <c r="A25" s="140" t="s">
        <v>148</v>
      </c>
      <c r="B25" s="141" t="s">
        <v>149</v>
      </c>
      <c r="C25" s="146">
        <v>2.5000000000000001E-2</v>
      </c>
      <c r="D25" s="143"/>
      <c r="E25" s="6"/>
      <c r="F25" s="6"/>
      <c r="G25" s="61"/>
      <c r="H25" s="6"/>
      <c r="I25" s="6"/>
      <c r="J25" s="6"/>
      <c r="K25" s="6"/>
      <c r="L25" s="6"/>
    </row>
    <row r="26" spans="1:12" ht="13.5" customHeight="1" x14ac:dyDescent="0.2">
      <c r="A26" s="140" t="s">
        <v>150</v>
      </c>
      <c r="B26" s="141" t="s">
        <v>151</v>
      </c>
      <c r="C26" s="146">
        <v>2E-3</v>
      </c>
      <c r="D26" s="143"/>
      <c r="E26" s="6"/>
      <c r="F26" s="6"/>
      <c r="G26" s="6"/>
      <c r="H26" s="6"/>
      <c r="I26" s="6"/>
      <c r="J26" s="6"/>
      <c r="K26" s="6"/>
      <c r="L26" s="6"/>
    </row>
    <row r="27" spans="1:12" ht="13.5" customHeight="1" x14ac:dyDescent="0.2">
      <c r="A27" s="140" t="s">
        <v>152</v>
      </c>
      <c r="B27" s="147" t="s">
        <v>153</v>
      </c>
      <c r="C27" s="148">
        <f>SUM(C22:C26)</f>
        <v>0.10271660000000002</v>
      </c>
      <c r="D27" s="152"/>
      <c r="E27" s="6"/>
      <c r="F27" s="6"/>
      <c r="G27" s="6"/>
      <c r="H27" s="6"/>
      <c r="I27" s="6"/>
      <c r="J27" s="6"/>
      <c r="K27" s="6"/>
      <c r="L27" s="6"/>
    </row>
    <row r="28" spans="1:12" ht="13.5" customHeight="1" x14ac:dyDescent="0.2">
      <c r="A28" s="149"/>
      <c r="B28" s="150"/>
      <c r="C28" s="151"/>
      <c r="D28" s="152"/>
      <c r="E28" s="6"/>
      <c r="F28" s="6"/>
      <c r="G28" s="6"/>
      <c r="H28" s="6"/>
      <c r="I28" s="6"/>
      <c r="J28" s="6"/>
      <c r="K28" s="6"/>
      <c r="L28" s="6"/>
    </row>
    <row r="29" spans="1:12" ht="13.5" customHeight="1" x14ac:dyDescent="0.2">
      <c r="A29" s="140" t="s">
        <v>154</v>
      </c>
      <c r="B29" s="141" t="s">
        <v>155</v>
      </c>
      <c r="C29" s="146">
        <f>ROUND(C12*C20,4)</f>
        <v>5.1400000000000001E-2</v>
      </c>
      <c r="D29" s="143"/>
      <c r="E29" s="6"/>
      <c r="F29" s="6"/>
      <c r="G29" s="6"/>
      <c r="H29" s="6"/>
      <c r="I29" s="6"/>
      <c r="J29" s="6"/>
      <c r="K29" s="6"/>
      <c r="L29" s="6"/>
    </row>
    <row r="30" spans="1:12" ht="27" customHeight="1" x14ac:dyDescent="0.2">
      <c r="A30" s="140" t="s">
        <v>156</v>
      </c>
      <c r="B30" s="154" t="s">
        <v>157</v>
      </c>
      <c r="C30" s="146">
        <f>ROUND((C22*C11),4)</f>
        <v>2.3E-3</v>
      </c>
      <c r="D30" s="143"/>
      <c r="E30" s="6"/>
      <c r="F30" s="6"/>
      <c r="G30" s="6"/>
      <c r="H30" s="6"/>
      <c r="I30" s="6"/>
      <c r="J30" s="6"/>
      <c r="K30" s="6"/>
      <c r="L30" s="6"/>
    </row>
    <row r="31" spans="1:12" ht="13.5" customHeight="1" x14ac:dyDescent="0.2">
      <c r="A31" s="140" t="s">
        <v>158</v>
      </c>
      <c r="B31" s="147" t="s">
        <v>159</v>
      </c>
      <c r="C31" s="148">
        <f>SUM(C29:C30)</f>
        <v>5.3699999999999998E-2</v>
      </c>
      <c r="D31" s="152"/>
      <c r="E31" s="6"/>
      <c r="F31" s="6"/>
      <c r="G31" s="6"/>
      <c r="H31" s="6"/>
      <c r="I31" s="6"/>
      <c r="J31" s="6"/>
      <c r="K31" s="6"/>
      <c r="L31" s="6"/>
    </row>
    <row r="32" spans="1:12" ht="14.25" customHeight="1" x14ac:dyDescent="0.2">
      <c r="A32" s="155"/>
      <c r="B32" s="156" t="s">
        <v>160</v>
      </c>
      <c r="C32" s="157">
        <f>C31+C27+C20+C12</f>
        <v>0.66401660000000007</v>
      </c>
      <c r="D32" s="152"/>
      <c r="E32" s="6"/>
      <c r="F32" s="6"/>
      <c r="G32" s="6"/>
      <c r="H32" s="6"/>
      <c r="I32" s="6"/>
      <c r="J32" s="6"/>
      <c r="K32" s="6"/>
      <c r="L32" s="6"/>
    </row>
    <row r="33" spans="1:12" ht="13.5" customHeight="1" x14ac:dyDescent="0.2">
      <c r="A33" s="143"/>
      <c r="B33" s="158"/>
      <c r="C33" s="159"/>
      <c r="D33" s="160"/>
      <c r="E33" s="6"/>
      <c r="F33" s="6"/>
      <c r="G33" s="6"/>
      <c r="H33" s="6"/>
      <c r="I33" s="6"/>
      <c r="J33" s="6"/>
      <c r="K33" s="6"/>
      <c r="L33" s="6"/>
    </row>
    <row r="34" spans="1:12" ht="13.5" customHeight="1" x14ac:dyDescent="0.2">
      <c r="A34" s="143"/>
      <c r="B34" s="143"/>
      <c r="C34" s="161"/>
      <c r="D34" s="162"/>
      <c r="E34" s="6"/>
      <c r="F34" s="6"/>
      <c r="G34" s="6"/>
      <c r="H34" s="6"/>
      <c r="I34" s="6"/>
      <c r="J34" s="6"/>
      <c r="K34" s="6"/>
      <c r="L34" s="6"/>
    </row>
    <row r="35" spans="1:12" ht="13.5" customHeight="1" x14ac:dyDescent="0.2">
      <c r="A35" s="143"/>
      <c r="B35" s="143"/>
      <c r="C35" s="161"/>
      <c r="D35" s="143"/>
      <c r="E35" s="6"/>
      <c r="F35" s="6"/>
      <c r="G35" s="6"/>
      <c r="H35" s="6"/>
      <c r="I35" s="6"/>
      <c r="J35" s="6"/>
      <c r="K35" s="6"/>
      <c r="L35" s="6"/>
    </row>
    <row r="36" spans="1:12" ht="13.5" customHeight="1" x14ac:dyDescent="0.2">
      <c r="A36" s="143"/>
      <c r="B36" s="143"/>
      <c r="C36" s="161"/>
      <c r="D36" s="143"/>
      <c r="E36" s="6"/>
      <c r="F36" s="6"/>
      <c r="G36" s="6"/>
      <c r="H36" s="6"/>
      <c r="I36" s="6"/>
      <c r="J36" s="6"/>
      <c r="K36" s="6"/>
      <c r="L36" s="6"/>
    </row>
    <row r="37" spans="1:12" ht="13.5" customHeight="1" x14ac:dyDescent="0.2">
      <c r="A37" s="143"/>
      <c r="B37" s="143"/>
      <c r="C37" s="161"/>
      <c r="D37" s="143"/>
      <c r="E37" s="6"/>
      <c r="F37" s="6"/>
      <c r="G37" s="6"/>
      <c r="H37" s="6"/>
      <c r="I37" s="6"/>
      <c r="J37" s="6"/>
      <c r="K37" s="6"/>
      <c r="L37" s="6"/>
    </row>
    <row r="38" spans="1:12" ht="13.5" customHeight="1" x14ac:dyDescent="0.2">
      <c r="A38" s="143"/>
      <c r="B38" s="158"/>
      <c r="C38" s="159"/>
      <c r="D38" s="143"/>
      <c r="E38" s="6"/>
      <c r="F38" s="6"/>
      <c r="G38" s="6"/>
      <c r="H38" s="6"/>
      <c r="I38" s="6"/>
      <c r="J38" s="6"/>
      <c r="K38" s="6"/>
      <c r="L38" s="6"/>
    </row>
    <row r="39" spans="1:12" ht="13.5" customHeight="1" x14ac:dyDescent="0.2">
      <c r="A39" s="152"/>
      <c r="B39" s="158"/>
      <c r="C39" s="159"/>
      <c r="D39" s="152"/>
      <c r="E39" s="6"/>
      <c r="F39" s="6"/>
      <c r="G39" s="6"/>
      <c r="H39" s="6"/>
      <c r="I39" s="6"/>
      <c r="J39" s="6"/>
      <c r="K39" s="6"/>
      <c r="L39" s="6"/>
    </row>
    <row r="40" spans="1:12" ht="16.5" customHeight="1" x14ac:dyDescent="0.2">
      <c r="A40" s="163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1:12" ht="12.75" customHeight="1" x14ac:dyDescent="0.2">
      <c r="A41" s="164"/>
      <c r="D41" s="6"/>
      <c r="E41" s="6"/>
      <c r="F41" s="6"/>
      <c r="G41" s="6"/>
      <c r="H41" s="6"/>
      <c r="I41" s="6"/>
      <c r="J41" s="6"/>
      <c r="K41" s="6"/>
      <c r="L41" s="6"/>
    </row>
    <row r="42" spans="1:12" ht="13.5" customHeight="1" x14ac:dyDescent="0.2">
      <c r="A42" s="143"/>
      <c r="B42" s="165"/>
      <c r="D42" s="6"/>
      <c r="E42" s="6"/>
      <c r="F42" s="6"/>
      <c r="G42" s="6"/>
      <c r="H42" s="6"/>
      <c r="I42" s="6"/>
      <c r="J42" s="6"/>
      <c r="K42" s="6"/>
      <c r="L42" s="6"/>
    </row>
    <row r="43" spans="1:12" ht="13.5" customHeight="1" x14ac:dyDescent="0.2">
      <c r="A43" s="143"/>
      <c r="B43" s="165"/>
      <c r="C43" s="143"/>
      <c r="D43" s="6"/>
      <c r="E43" s="6"/>
      <c r="F43" s="6"/>
      <c r="G43" s="6"/>
      <c r="H43" s="6"/>
      <c r="I43" s="6"/>
      <c r="J43" s="6"/>
      <c r="K43" s="6"/>
      <c r="L43" s="6"/>
    </row>
    <row r="44" spans="1:12" ht="13.5" customHeight="1" x14ac:dyDescent="0.2">
      <c r="A44" s="143"/>
      <c r="B44" s="161"/>
      <c r="D44" s="6"/>
      <c r="E44" s="6"/>
      <c r="F44" s="6"/>
      <c r="G44" s="6"/>
      <c r="H44" s="6"/>
      <c r="I44" s="6"/>
      <c r="J44" s="6"/>
      <c r="K44" s="6"/>
      <c r="L44" s="6"/>
    </row>
    <row r="45" spans="1:12" ht="13.5" customHeight="1" x14ac:dyDescent="0.2">
      <c r="A45" s="143"/>
      <c r="B45" s="165"/>
      <c r="C45" s="143"/>
      <c r="D45" s="6"/>
      <c r="E45" s="6"/>
      <c r="F45" s="6"/>
      <c r="G45" s="6"/>
      <c r="H45" s="6"/>
      <c r="I45" s="6"/>
      <c r="J45" s="6"/>
      <c r="K45" s="6"/>
      <c r="L45" s="6"/>
    </row>
    <row r="46" spans="1:12" ht="13.5" customHeight="1" x14ac:dyDescent="0.2">
      <c r="A46" s="143"/>
      <c r="B46" s="161"/>
      <c r="D46" s="6"/>
      <c r="E46" s="6"/>
      <c r="F46" s="6"/>
      <c r="G46" s="6"/>
      <c r="H46" s="6"/>
      <c r="I46" s="6"/>
      <c r="J46" s="6"/>
      <c r="K46" s="6"/>
      <c r="L46" s="6"/>
    </row>
    <row r="47" spans="1:12" ht="13.5" customHeight="1" x14ac:dyDescent="0.2">
      <c r="A47" s="143"/>
      <c r="B47" s="165"/>
      <c r="C47" s="143"/>
      <c r="D47" s="6"/>
      <c r="E47" s="6"/>
      <c r="F47" s="6"/>
      <c r="G47" s="6"/>
      <c r="H47" s="6"/>
      <c r="I47" s="6"/>
      <c r="J47" s="6"/>
      <c r="K47" s="6"/>
      <c r="L47" s="6"/>
    </row>
    <row r="48" spans="1:12" ht="13.5" customHeight="1" x14ac:dyDescent="0.2">
      <c r="A48" s="143"/>
      <c r="B48" s="161"/>
      <c r="D48" s="6"/>
      <c r="E48" s="6"/>
      <c r="F48" s="6"/>
      <c r="G48" s="6"/>
      <c r="H48" s="6"/>
      <c r="I48" s="6"/>
      <c r="J48" s="6"/>
      <c r="K48" s="6"/>
      <c r="L48" s="6"/>
    </row>
    <row r="49" spans="1:12" ht="13.5" customHeight="1" x14ac:dyDescent="0.2">
      <c r="A49" s="143"/>
      <c r="B49" s="165"/>
      <c r="C49" s="143"/>
      <c r="D49" s="6"/>
      <c r="E49" s="6"/>
      <c r="F49" s="6"/>
      <c r="G49" s="6"/>
      <c r="H49" s="6"/>
      <c r="I49" s="6"/>
      <c r="J49" s="6"/>
      <c r="K49" s="6"/>
      <c r="L49" s="6"/>
    </row>
    <row r="50" spans="1:12" ht="13.5" customHeight="1" x14ac:dyDescent="0.2">
      <c r="A50" s="143"/>
      <c r="B50" s="161"/>
      <c r="D50" s="6"/>
      <c r="E50" s="6"/>
      <c r="F50" s="6"/>
      <c r="G50" s="6"/>
      <c r="H50" s="6"/>
      <c r="I50" s="6"/>
      <c r="J50" s="6"/>
      <c r="K50" s="6"/>
      <c r="L50" s="6"/>
    </row>
    <row r="51" spans="1:12" ht="16.5" customHeight="1" x14ac:dyDescent="0.2">
      <c r="A51" s="163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1:12" ht="12.7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1:12" ht="12.7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1:12" ht="12.75" customHeight="1" x14ac:dyDescent="0.2">
      <c r="A54" s="16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1:12" ht="12.7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2" ht="12.7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2" ht="12.7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2" ht="12.7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2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2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2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2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2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2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12.7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12.7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12.7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12.7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12.7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12.7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12.7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12.7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12.7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12.7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12.7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12.7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12.7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12.7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12.7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12.7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12.7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12.7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12.7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12.7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12.7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12.7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12.7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12.7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12.7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12.7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12.7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12.7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</sheetData>
  <mergeCells count="2">
    <mergeCell ref="A2:C2"/>
    <mergeCell ref="A1:C1"/>
  </mergeCells>
  <pageMargins left="0.25" right="0.25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K93"/>
  <sheetViews>
    <sheetView workbookViewId="0">
      <selection activeCell="M16" sqref="M16"/>
    </sheetView>
  </sheetViews>
  <sheetFormatPr defaultColWidth="14.42578125" defaultRowHeight="15" customHeight="1" x14ac:dyDescent="0.2"/>
  <cols>
    <col min="1" max="1" width="46.7109375" customWidth="1"/>
    <col min="2" max="2" width="12.7109375" customWidth="1"/>
    <col min="3" max="3" width="27.85546875" customWidth="1"/>
    <col min="4" max="4" width="9.7109375" hidden="1" customWidth="1"/>
    <col min="5" max="5" width="8" hidden="1" customWidth="1"/>
    <col min="6" max="6" width="9.7109375" hidden="1" customWidth="1"/>
    <col min="7" max="11" width="8" customWidth="1"/>
  </cols>
  <sheetData>
    <row r="1" spans="1:11" ht="14.25" customHeight="1" thickBot="1" x14ac:dyDescent="0.3">
      <c r="A1" s="439" t="str">
        <f>'ROTA 1 - ÔNIBUS'!A1</f>
        <v>MEDIANEIRA/PR - PREGÃO ELETRÔNICO 67/2024</v>
      </c>
      <c r="B1" s="439"/>
      <c r="C1" s="439"/>
      <c r="D1" s="167"/>
      <c r="E1" s="169"/>
      <c r="F1" s="167"/>
      <c r="G1" s="167"/>
      <c r="H1" s="167"/>
      <c r="I1" s="167"/>
      <c r="J1" s="167"/>
      <c r="K1" s="167"/>
    </row>
    <row r="2" spans="1:11" ht="15.75" x14ac:dyDescent="0.2">
      <c r="A2" s="433" t="s">
        <v>161</v>
      </c>
      <c r="B2" s="434"/>
      <c r="C2" s="434"/>
      <c r="D2" s="434"/>
      <c r="E2" s="434"/>
      <c r="F2" s="435"/>
    </row>
    <row r="3" spans="1:11" ht="15.75" hidden="1" x14ac:dyDescent="0.2">
      <c r="A3" s="170"/>
      <c r="B3" s="4"/>
      <c r="C3" s="4"/>
      <c r="D3" s="4"/>
      <c r="E3" s="4"/>
      <c r="F3" s="171"/>
    </row>
    <row r="4" spans="1:11" ht="13.5" hidden="1" customHeight="1" x14ac:dyDescent="0.25">
      <c r="A4" s="172"/>
      <c r="B4" s="168"/>
      <c r="C4" s="168"/>
      <c r="D4" s="436" t="s">
        <v>162</v>
      </c>
      <c r="E4" s="430"/>
      <c r="F4" s="431"/>
      <c r="G4" s="167"/>
      <c r="H4" s="167"/>
    </row>
    <row r="5" spans="1:11" ht="13.5" customHeight="1" x14ac:dyDescent="0.2">
      <c r="A5" s="173"/>
      <c r="B5" s="174"/>
      <c r="C5" s="174"/>
      <c r="D5" s="175" t="s">
        <v>163</v>
      </c>
      <c r="E5" s="176" t="s">
        <v>164</v>
      </c>
      <c r="F5" s="177" t="s">
        <v>165</v>
      </c>
      <c r="G5" s="167"/>
      <c r="H5" s="167"/>
    </row>
    <row r="6" spans="1:11" ht="13.5" customHeight="1" x14ac:dyDescent="0.2">
      <c r="A6" s="178" t="s">
        <v>166</v>
      </c>
      <c r="B6" s="179" t="s">
        <v>167</v>
      </c>
      <c r="C6" s="180">
        <v>0.04</v>
      </c>
      <c r="D6" s="181">
        <v>2.9700000000000001E-2</v>
      </c>
      <c r="E6" s="182">
        <v>5.0799999999999998E-2</v>
      </c>
      <c r="F6" s="183">
        <v>6.2700000000000006E-2</v>
      </c>
      <c r="G6" s="167"/>
      <c r="H6" s="167"/>
    </row>
    <row r="7" spans="1:11" ht="13.5" customHeight="1" x14ac:dyDescent="0.2">
      <c r="A7" s="140" t="s">
        <v>168</v>
      </c>
      <c r="B7" s="184" t="s">
        <v>169</v>
      </c>
      <c r="C7" s="185">
        <v>0.01</v>
      </c>
      <c r="D7" s="186">
        <f>0.3%+0.56%</f>
        <v>8.6E-3</v>
      </c>
      <c r="E7" s="187">
        <f>0.48%+0.85%</f>
        <v>1.3299999999999999E-2</v>
      </c>
      <c r="F7" s="188">
        <f>0.82%+0.89%</f>
        <v>1.7099999999999997E-2</v>
      </c>
      <c r="G7" s="167"/>
      <c r="H7" s="167"/>
    </row>
    <row r="8" spans="1:11" ht="13.5" customHeight="1" x14ac:dyDescent="0.2">
      <c r="A8" s="140" t="s">
        <v>170</v>
      </c>
      <c r="B8" s="184" t="s">
        <v>171</v>
      </c>
      <c r="C8" s="185">
        <v>0.1</v>
      </c>
      <c r="D8" s="186">
        <v>7.7799999999999994E-2</v>
      </c>
      <c r="E8" s="187">
        <v>0.1085</v>
      </c>
      <c r="F8" s="188">
        <v>0.13550000000000001</v>
      </c>
      <c r="G8" s="167"/>
      <c r="H8" s="167"/>
    </row>
    <row r="9" spans="1:11" ht="13.5" customHeight="1" x14ac:dyDescent="0.2">
      <c r="A9" s="140" t="s">
        <v>172</v>
      </c>
      <c r="B9" s="184" t="s">
        <v>173</v>
      </c>
      <c r="C9" s="189">
        <v>0</v>
      </c>
      <c r="D9" s="186" t="s">
        <v>174</v>
      </c>
      <c r="E9" s="190">
        <v>9.2499999999999999E-2</v>
      </c>
      <c r="F9" s="191"/>
      <c r="G9" s="167"/>
      <c r="H9" s="167"/>
    </row>
    <row r="10" spans="1:11" ht="13.5" customHeight="1" x14ac:dyDescent="0.2">
      <c r="A10" s="140" t="s">
        <v>175</v>
      </c>
      <c r="B10" s="437" t="s">
        <v>242</v>
      </c>
      <c r="C10" s="185">
        <f>3%</f>
        <v>0.03</v>
      </c>
      <c r="D10" s="192" t="s">
        <v>176</v>
      </c>
      <c r="E10" s="193">
        <v>5</v>
      </c>
      <c r="F10" s="194"/>
      <c r="G10" s="167"/>
      <c r="H10" s="167"/>
    </row>
    <row r="11" spans="1:11" ht="14.25" customHeight="1" thickBot="1" x14ac:dyDescent="0.25">
      <c r="A11" s="195" t="s">
        <v>241</v>
      </c>
      <c r="B11" s="438"/>
      <c r="C11" s="185">
        <f>(1.65%+7.6%)*C8</f>
        <v>9.2499999999999995E-3</v>
      </c>
      <c r="D11" s="196"/>
      <c r="E11" s="197"/>
      <c r="F11" s="194"/>
      <c r="G11" s="167"/>
      <c r="H11" s="167"/>
    </row>
    <row r="12" spans="1:11" ht="13.5" customHeight="1" x14ac:dyDescent="0.2">
      <c r="A12" s="198" t="s">
        <v>177</v>
      </c>
      <c r="B12" s="199"/>
      <c r="C12" s="200"/>
      <c r="D12" s="196"/>
      <c r="E12" s="197"/>
      <c r="F12" s="194"/>
      <c r="G12" s="167"/>
      <c r="H12" s="167"/>
    </row>
    <row r="13" spans="1:11" ht="14.25" customHeight="1" x14ac:dyDescent="0.2">
      <c r="A13" s="201" t="s">
        <v>178</v>
      </c>
      <c r="B13" s="202"/>
      <c r="C13" s="203"/>
      <c r="D13" s="196"/>
      <c r="E13" s="197"/>
      <c r="F13" s="194"/>
      <c r="G13" s="167"/>
      <c r="H13" s="167"/>
    </row>
    <row r="14" spans="1:11" ht="14.25" customHeight="1" x14ac:dyDescent="0.2">
      <c r="A14" s="204" t="s">
        <v>179</v>
      </c>
      <c r="B14" s="205"/>
      <c r="C14" s="206">
        <f>ROUND((((1+C6+C7)*(1+C8)*(1+C9))/(1-(C10+C11))-1),4)</f>
        <v>0.20219999999999999</v>
      </c>
      <c r="D14" s="207">
        <v>0.21429999999999999</v>
      </c>
      <c r="E14" s="208">
        <v>0.2717</v>
      </c>
      <c r="F14" s="209">
        <v>0.3362</v>
      </c>
      <c r="G14" s="167"/>
      <c r="H14" s="167"/>
    </row>
    <row r="15" spans="1:11" ht="13.5" customHeight="1" x14ac:dyDescent="0.2">
      <c r="A15" s="167"/>
      <c r="B15" s="167"/>
      <c r="C15" s="167"/>
      <c r="D15" s="167"/>
      <c r="E15" s="169"/>
      <c r="F15" s="167"/>
      <c r="G15" s="167"/>
      <c r="H15" s="167"/>
    </row>
    <row r="16" spans="1:11" ht="13.5" customHeight="1" x14ac:dyDescent="0.2">
      <c r="A16" s="210" t="s">
        <v>180</v>
      </c>
      <c r="B16" s="167"/>
      <c r="C16" s="167"/>
      <c r="D16" s="167"/>
      <c r="E16" s="169"/>
      <c r="F16" s="167"/>
      <c r="G16" s="167"/>
      <c r="H16" s="167"/>
    </row>
    <row r="17" spans="1:8" ht="13.5" customHeight="1" x14ac:dyDescent="0.2">
      <c r="A17" s="210" t="s">
        <v>181</v>
      </c>
      <c r="B17" s="167"/>
      <c r="C17" s="167"/>
      <c r="D17" s="167"/>
      <c r="E17" s="169"/>
      <c r="F17" s="167"/>
      <c r="G17" s="167"/>
      <c r="H17" s="167"/>
    </row>
    <row r="18" spans="1:8" ht="13.5" customHeight="1" x14ac:dyDescent="0.2">
      <c r="A18" s="167"/>
      <c r="B18" s="167"/>
      <c r="C18" s="167"/>
      <c r="D18" s="167"/>
      <c r="E18" s="169"/>
      <c r="F18" s="167"/>
      <c r="G18" s="167"/>
      <c r="H18" s="167"/>
    </row>
    <row r="19" spans="1:8" ht="12.75" customHeight="1" x14ac:dyDescent="0.2">
      <c r="E19" s="211"/>
    </row>
    <row r="20" spans="1:8" ht="12.75" customHeight="1" x14ac:dyDescent="0.2">
      <c r="E20" s="211"/>
    </row>
    <row r="21" spans="1:8" ht="12.75" customHeight="1" x14ac:dyDescent="0.2">
      <c r="E21" s="211"/>
    </row>
    <row r="22" spans="1:8" ht="12.75" customHeight="1" x14ac:dyDescent="0.2">
      <c r="E22" s="211"/>
    </row>
    <row r="23" spans="1:8" ht="12.75" customHeight="1" x14ac:dyDescent="0.2">
      <c r="E23" s="211"/>
    </row>
    <row r="24" spans="1:8" ht="12.75" customHeight="1" x14ac:dyDescent="0.2">
      <c r="E24" s="211"/>
    </row>
    <row r="25" spans="1:8" ht="12.75" customHeight="1" x14ac:dyDescent="0.2">
      <c r="E25" s="211"/>
    </row>
    <row r="26" spans="1:8" ht="12.75" customHeight="1" x14ac:dyDescent="0.2">
      <c r="E26" s="211"/>
    </row>
    <row r="27" spans="1:8" ht="12.75" customHeight="1" x14ac:dyDescent="0.2">
      <c r="E27" s="211"/>
    </row>
    <row r="28" spans="1:8" ht="12.75" customHeight="1" x14ac:dyDescent="0.2">
      <c r="E28" s="211"/>
    </row>
    <row r="29" spans="1:8" ht="12.75" customHeight="1" x14ac:dyDescent="0.2">
      <c r="E29" s="211"/>
    </row>
    <row r="30" spans="1:8" ht="12.75" customHeight="1" x14ac:dyDescent="0.2">
      <c r="E30" s="211"/>
    </row>
    <row r="31" spans="1:8" ht="12.75" customHeight="1" x14ac:dyDescent="0.2">
      <c r="E31" s="211"/>
    </row>
    <row r="32" spans="1:8" ht="12.75" customHeight="1" x14ac:dyDescent="0.2">
      <c r="E32" s="211"/>
    </row>
    <row r="33" spans="5:5" ht="12.75" customHeight="1" x14ac:dyDescent="0.2">
      <c r="E33" s="211"/>
    </row>
    <row r="34" spans="5:5" ht="12.75" customHeight="1" x14ac:dyDescent="0.2">
      <c r="E34" s="211"/>
    </row>
    <row r="35" spans="5:5" ht="12.75" customHeight="1" x14ac:dyDescent="0.2">
      <c r="E35" s="211"/>
    </row>
    <row r="36" spans="5:5" ht="12.75" customHeight="1" x14ac:dyDescent="0.2">
      <c r="E36" s="211"/>
    </row>
    <row r="37" spans="5:5" ht="12.75" customHeight="1" x14ac:dyDescent="0.2">
      <c r="E37" s="211"/>
    </row>
    <row r="38" spans="5:5" ht="12.75" customHeight="1" x14ac:dyDescent="0.2">
      <c r="E38" s="211"/>
    </row>
    <row r="39" spans="5:5" ht="12.75" customHeight="1" x14ac:dyDescent="0.2">
      <c r="E39" s="211"/>
    </row>
    <row r="40" spans="5:5" ht="12.75" customHeight="1" x14ac:dyDescent="0.2">
      <c r="E40" s="211"/>
    </row>
    <row r="41" spans="5:5" ht="12.75" customHeight="1" x14ac:dyDescent="0.2">
      <c r="E41" s="211"/>
    </row>
    <row r="42" spans="5:5" ht="12.75" customHeight="1" x14ac:dyDescent="0.2">
      <c r="E42" s="211"/>
    </row>
    <row r="43" spans="5:5" ht="12.75" customHeight="1" x14ac:dyDescent="0.2">
      <c r="E43" s="211"/>
    </row>
    <row r="44" spans="5:5" ht="12.75" customHeight="1" x14ac:dyDescent="0.2">
      <c r="E44" s="211"/>
    </row>
    <row r="45" spans="5:5" ht="12.75" customHeight="1" x14ac:dyDescent="0.2">
      <c r="E45" s="211"/>
    </row>
    <row r="46" spans="5:5" ht="12.75" customHeight="1" x14ac:dyDescent="0.2">
      <c r="E46" s="211"/>
    </row>
    <row r="47" spans="5:5" ht="12.75" customHeight="1" x14ac:dyDescent="0.2">
      <c r="E47" s="211"/>
    </row>
    <row r="48" spans="5:5" ht="12.75" customHeight="1" x14ac:dyDescent="0.2">
      <c r="E48" s="211"/>
    </row>
    <row r="49" spans="5:5" ht="12.75" customHeight="1" x14ac:dyDescent="0.2">
      <c r="E49" s="211"/>
    </row>
    <row r="50" spans="5:5" ht="12.75" customHeight="1" x14ac:dyDescent="0.2">
      <c r="E50" s="211"/>
    </row>
    <row r="51" spans="5:5" ht="12.75" customHeight="1" x14ac:dyDescent="0.2">
      <c r="E51" s="211"/>
    </row>
    <row r="52" spans="5:5" ht="12.75" customHeight="1" x14ac:dyDescent="0.2">
      <c r="E52" s="211"/>
    </row>
    <row r="53" spans="5:5" ht="12.75" customHeight="1" x14ac:dyDescent="0.2">
      <c r="E53" s="211"/>
    </row>
    <row r="54" spans="5:5" ht="12.75" customHeight="1" x14ac:dyDescent="0.2">
      <c r="E54" s="211"/>
    </row>
    <row r="55" spans="5:5" ht="12.75" customHeight="1" x14ac:dyDescent="0.2">
      <c r="E55" s="211"/>
    </row>
    <row r="56" spans="5:5" ht="12.75" customHeight="1" x14ac:dyDescent="0.2">
      <c r="E56" s="211"/>
    </row>
    <row r="57" spans="5:5" ht="12.75" customHeight="1" x14ac:dyDescent="0.2">
      <c r="E57" s="211"/>
    </row>
    <row r="58" spans="5:5" ht="12.75" customHeight="1" x14ac:dyDescent="0.2">
      <c r="E58" s="211"/>
    </row>
    <row r="59" spans="5:5" ht="12.75" customHeight="1" x14ac:dyDescent="0.2">
      <c r="E59" s="211"/>
    </row>
    <row r="60" spans="5:5" ht="12.75" customHeight="1" x14ac:dyDescent="0.2">
      <c r="E60" s="211"/>
    </row>
    <row r="61" spans="5:5" ht="12.75" customHeight="1" x14ac:dyDescent="0.2">
      <c r="E61" s="211"/>
    </row>
    <row r="62" spans="5:5" ht="12.75" customHeight="1" x14ac:dyDescent="0.2">
      <c r="E62" s="211"/>
    </row>
    <row r="63" spans="5:5" ht="12.75" customHeight="1" x14ac:dyDescent="0.2">
      <c r="E63" s="211"/>
    </row>
    <row r="64" spans="5:5" ht="12.75" customHeight="1" x14ac:dyDescent="0.2">
      <c r="E64" s="211"/>
    </row>
    <row r="65" spans="5:5" ht="12.75" customHeight="1" x14ac:dyDescent="0.2">
      <c r="E65" s="211"/>
    </row>
    <row r="66" spans="5:5" ht="12.75" customHeight="1" x14ac:dyDescent="0.2">
      <c r="E66" s="211"/>
    </row>
    <row r="67" spans="5:5" ht="12.75" customHeight="1" x14ac:dyDescent="0.2">
      <c r="E67" s="211"/>
    </row>
    <row r="68" spans="5:5" ht="12.75" customHeight="1" x14ac:dyDescent="0.2">
      <c r="E68" s="211"/>
    </row>
    <row r="69" spans="5:5" ht="12.75" customHeight="1" x14ac:dyDescent="0.2">
      <c r="E69" s="211"/>
    </row>
    <row r="70" spans="5:5" ht="12.75" customHeight="1" x14ac:dyDescent="0.2">
      <c r="E70" s="211"/>
    </row>
    <row r="71" spans="5:5" ht="12.75" customHeight="1" x14ac:dyDescent="0.2">
      <c r="E71" s="211"/>
    </row>
    <row r="72" spans="5:5" ht="12.75" customHeight="1" x14ac:dyDescent="0.2">
      <c r="E72" s="211"/>
    </row>
    <row r="73" spans="5:5" ht="12.75" customHeight="1" x14ac:dyDescent="0.2">
      <c r="E73" s="211"/>
    </row>
    <row r="74" spans="5:5" ht="12.75" customHeight="1" x14ac:dyDescent="0.2">
      <c r="E74" s="211"/>
    </row>
    <row r="75" spans="5:5" ht="12.75" customHeight="1" x14ac:dyDescent="0.2">
      <c r="E75" s="211"/>
    </row>
    <row r="76" spans="5:5" ht="12.75" customHeight="1" x14ac:dyDescent="0.2">
      <c r="E76" s="211"/>
    </row>
    <row r="77" spans="5:5" ht="12.75" customHeight="1" x14ac:dyDescent="0.2">
      <c r="E77" s="211"/>
    </row>
    <row r="78" spans="5:5" ht="12.75" customHeight="1" x14ac:dyDescent="0.2">
      <c r="E78" s="211"/>
    </row>
    <row r="79" spans="5:5" ht="12.75" customHeight="1" x14ac:dyDescent="0.2">
      <c r="E79" s="211"/>
    </row>
    <row r="80" spans="5:5" ht="12.75" customHeight="1" x14ac:dyDescent="0.2">
      <c r="E80" s="211"/>
    </row>
    <row r="81" spans="5:5" ht="12.75" customHeight="1" x14ac:dyDescent="0.2">
      <c r="E81" s="211"/>
    </row>
    <row r="82" spans="5:5" ht="12.75" customHeight="1" x14ac:dyDescent="0.2">
      <c r="E82" s="211"/>
    </row>
    <row r="83" spans="5:5" ht="12.75" customHeight="1" x14ac:dyDescent="0.2">
      <c r="E83" s="211"/>
    </row>
    <row r="84" spans="5:5" ht="12.75" customHeight="1" x14ac:dyDescent="0.2">
      <c r="E84" s="211"/>
    </row>
    <row r="85" spans="5:5" ht="12.75" customHeight="1" x14ac:dyDescent="0.2">
      <c r="E85" s="211"/>
    </row>
    <row r="86" spans="5:5" ht="12.75" customHeight="1" x14ac:dyDescent="0.2">
      <c r="E86" s="211"/>
    </row>
    <row r="87" spans="5:5" ht="12.75" customHeight="1" x14ac:dyDescent="0.2">
      <c r="E87" s="211"/>
    </row>
    <row r="88" spans="5:5" ht="12.75" customHeight="1" x14ac:dyDescent="0.2">
      <c r="E88" s="211"/>
    </row>
    <row r="89" spans="5:5" ht="12.75" customHeight="1" x14ac:dyDescent="0.2">
      <c r="E89" s="211"/>
    </row>
    <row r="90" spans="5:5" ht="12.75" customHeight="1" x14ac:dyDescent="0.2">
      <c r="E90" s="211"/>
    </row>
    <row r="91" spans="5:5" ht="12.75" customHeight="1" x14ac:dyDescent="0.2">
      <c r="E91" s="211"/>
    </row>
    <row r="92" spans="5:5" ht="12.75" customHeight="1" x14ac:dyDescent="0.2">
      <c r="E92" s="211"/>
    </row>
    <row r="93" spans="5:5" ht="12.75" customHeight="1" x14ac:dyDescent="0.2">
      <c r="E93" s="211"/>
    </row>
  </sheetData>
  <mergeCells count="4">
    <mergeCell ref="A2:F2"/>
    <mergeCell ref="D4:F4"/>
    <mergeCell ref="B10:B11"/>
    <mergeCell ref="A1:C1"/>
  </mergeCells>
  <pageMargins left="0.25" right="0.25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pageSetUpPr fitToPage="1"/>
  </sheetPr>
  <dimension ref="A1:K100"/>
  <sheetViews>
    <sheetView workbookViewId="0">
      <selection activeCell="O16" sqref="O16"/>
    </sheetView>
  </sheetViews>
  <sheetFormatPr defaultColWidth="14.42578125" defaultRowHeight="15" customHeight="1" x14ac:dyDescent="0.2"/>
  <cols>
    <col min="1" max="1" width="23.85546875" bestFit="1" customWidth="1"/>
    <col min="2" max="2" width="35.28515625" customWidth="1"/>
    <col min="3" max="3" width="9" customWidth="1"/>
    <col min="4" max="6" width="9.140625" customWidth="1"/>
    <col min="7" max="11" width="8" customWidth="1"/>
  </cols>
  <sheetData>
    <row r="1" spans="1:11" ht="19.5" customHeight="1" x14ac:dyDescent="0.2">
      <c r="A1" s="440" t="str">
        <f>'ROTA 1 - ÔNIBUS'!A1</f>
        <v>MEDIANEIRA/PR - PREGÃO ELETRÔNICO 67/2024</v>
      </c>
      <c r="B1" s="388"/>
      <c r="C1" s="6"/>
      <c r="D1" s="6"/>
      <c r="E1" s="6"/>
      <c r="F1" s="6"/>
      <c r="G1" s="6"/>
      <c r="H1" s="6"/>
      <c r="I1" s="6"/>
      <c r="J1" s="6"/>
      <c r="K1" s="6"/>
    </row>
    <row r="2" spans="1:11" ht="19.5" customHeight="1" x14ac:dyDescent="0.2">
      <c r="A2" s="212" t="s">
        <v>182</v>
      </c>
      <c r="B2" s="213" t="s">
        <v>183</v>
      </c>
      <c r="C2" s="214"/>
      <c r="D2" s="214"/>
      <c r="E2" s="214"/>
      <c r="F2" s="214"/>
      <c r="G2" s="214"/>
      <c r="H2" s="214"/>
      <c r="I2" s="214"/>
      <c r="J2" s="214"/>
      <c r="K2" s="214"/>
    </row>
    <row r="3" spans="1:11" ht="19.5" customHeight="1" x14ac:dyDescent="0.2">
      <c r="A3" s="215">
        <v>1</v>
      </c>
      <c r="B3" s="216">
        <v>33.629999999999995</v>
      </c>
      <c r="C3" s="6"/>
      <c r="D3" s="6"/>
      <c r="E3" s="6"/>
      <c r="F3" s="6"/>
      <c r="G3" s="6"/>
      <c r="H3" s="6"/>
      <c r="I3" s="6"/>
      <c r="J3" s="6"/>
      <c r="K3" s="6"/>
    </row>
    <row r="4" spans="1:11" ht="19.5" customHeight="1" x14ac:dyDescent="0.2">
      <c r="A4" s="215">
        <v>2</v>
      </c>
      <c r="B4" s="216">
        <v>43.13</v>
      </c>
      <c r="C4" s="6"/>
      <c r="D4" s="6"/>
      <c r="E4" s="6"/>
      <c r="F4" s="6"/>
      <c r="G4" s="6"/>
      <c r="H4" s="6"/>
      <c r="I4" s="6"/>
      <c r="J4" s="6"/>
      <c r="K4" s="6"/>
    </row>
    <row r="5" spans="1:11" ht="19.5" customHeight="1" x14ac:dyDescent="0.2">
      <c r="A5" s="215">
        <v>3</v>
      </c>
      <c r="B5" s="216">
        <v>48.68</v>
      </c>
      <c r="C5" s="6"/>
      <c r="D5" s="6"/>
      <c r="E5" s="6"/>
      <c r="F5" s="6"/>
      <c r="G5" s="6"/>
      <c r="H5" s="6"/>
      <c r="I5" s="6"/>
      <c r="J5" s="6"/>
      <c r="K5" s="6"/>
    </row>
    <row r="6" spans="1:11" ht="19.5" customHeight="1" x14ac:dyDescent="0.2">
      <c r="A6" s="215">
        <v>4</v>
      </c>
      <c r="B6" s="216">
        <v>52.62</v>
      </c>
      <c r="C6" s="6"/>
      <c r="D6" s="6"/>
      <c r="E6" s="6"/>
      <c r="F6" s="6"/>
      <c r="G6" s="6"/>
      <c r="H6" s="6"/>
      <c r="I6" s="6"/>
      <c r="J6" s="6"/>
      <c r="K6" s="6"/>
    </row>
    <row r="7" spans="1:11" ht="19.5" customHeight="1" x14ac:dyDescent="0.2">
      <c r="A7" s="215">
        <v>5</v>
      </c>
      <c r="B7" s="216">
        <v>55.679999999999993</v>
      </c>
      <c r="C7" s="6"/>
      <c r="D7" s="6"/>
      <c r="E7" s="6"/>
      <c r="F7" s="6"/>
      <c r="G7" s="6"/>
      <c r="H7" s="6"/>
      <c r="I7" s="6"/>
      <c r="J7" s="6"/>
      <c r="K7" s="6"/>
    </row>
    <row r="8" spans="1:11" ht="19.5" customHeight="1" x14ac:dyDescent="0.2">
      <c r="A8" s="215">
        <v>6</v>
      </c>
      <c r="B8" s="216">
        <v>58.18</v>
      </c>
      <c r="C8" s="6"/>
      <c r="D8" s="6"/>
      <c r="E8" s="6"/>
      <c r="F8" s="6"/>
      <c r="G8" s="6"/>
      <c r="H8" s="6"/>
      <c r="I8" s="6"/>
      <c r="J8" s="6"/>
      <c r="K8" s="6"/>
    </row>
    <row r="9" spans="1:11" ht="19.5" customHeight="1" x14ac:dyDescent="0.2">
      <c r="A9" s="215">
        <v>7</v>
      </c>
      <c r="B9" s="216">
        <v>60.29</v>
      </c>
      <c r="C9" s="6"/>
      <c r="D9" s="6"/>
      <c r="E9" s="6"/>
      <c r="F9" s="6"/>
      <c r="G9" s="6"/>
      <c r="H9" s="6"/>
      <c r="I9" s="6"/>
      <c r="J9" s="6"/>
      <c r="K9" s="6"/>
    </row>
    <row r="10" spans="1:11" ht="19.5" customHeight="1" x14ac:dyDescent="0.2">
      <c r="A10" s="215">
        <v>8</v>
      </c>
      <c r="B10" s="216">
        <v>62.12</v>
      </c>
      <c r="C10" s="6"/>
      <c r="D10" s="6"/>
      <c r="E10" s="6"/>
      <c r="F10" s="6"/>
      <c r="G10" s="6"/>
      <c r="H10" s="6"/>
      <c r="I10" s="6"/>
      <c r="J10" s="6"/>
      <c r="K10" s="6"/>
    </row>
    <row r="11" spans="1:11" ht="19.5" customHeight="1" x14ac:dyDescent="0.2">
      <c r="A11" s="215">
        <v>9</v>
      </c>
      <c r="B11" s="216">
        <v>63.73</v>
      </c>
      <c r="C11" s="6"/>
      <c r="D11" s="6"/>
      <c r="E11" s="6"/>
      <c r="F11" s="6"/>
      <c r="G11" s="6"/>
      <c r="H11" s="6"/>
      <c r="I11" s="6"/>
      <c r="J11" s="6"/>
      <c r="K11" s="6"/>
    </row>
    <row r="12" spans="1:11" ht="19.5" customHeight="1" x14ac:dyDescent="0.2">
      <c r="A12" s="215">
        <v>10</v>
      </c>
      <c r="B12" s="216">
        <v>65.180000000000007</v>
      </c>
      <c r="C12" s="6"/>
      <c r="D12" s="6"/>
      <c r="E12" s="6"/>
      <c r="F12" s="6"/>
      <c r="G12" s="6"/>
      <c r="H12" s="6"/>
      <c r="I12" s="6"/>
      <c r="J12" s="6"/>
      <c r="K12" s="6"/>
    </row>
    <row r="13" spans="1:11" ht="19.5" customHeight="1" x14ac:dyDescent="0.2">
      <c r="A13" s="215">
        <v>11</v>
      </c>
      <c r="B13" s="216">
        <v>66.47999999999999</v>
      </c>
      <c r="C13" s="6"/>
      <c r="D13" s="6"/>
      <c r="E13" s="6"/>
      <c r="F13" s="6"/>
      <c r="G13" s="6"/>
      <c r="H13" s="6"/>
      <c r="I13" s="6"/>
      <c r="J13" s="6"/>
      <c r="K13" s="6"/>
    </row>
    <row r="14" spans="1:11" ht="19.5" customHeight="1" x14ac:dyDescent="0.2">
      <c r="A14" s="215">
        <v>12</v>
      </c>
      <c r="B14" s="216">
        <v>67.67</v>
      </c>
      <c r="C14" s="6"/>
      <c r="D14" s="6"/>
      <c r="E14" s="6"/>
      <c r="F14" s="6"/>
      <c r="G14" s="6"/>
      <c r="H14" s="6"/>
      <c r="I14" s="6"/>
      <c r="J14" s="6"/>
      <c r="K14" s="6"/>
    </row>
    <row r="15" spans="1:11" ht="19.5" customHeight="1" x14ac:dyDescent="0.2">
      <c r="A15" s="215">
        <v>13</v>
      </c>
      <c r="B15" s="216">
        <v>68.77</v>
      </c>
      <c r="C15" s="6"/>
      <c r="D15" s="6"/>
      <c r="E15" s="6"/>
      <c r="F15" s="6"/>
      <c r="G15" s="6"/>
      <c r="H15" s="6"/>
      <c r="I15" s="6"/>
      <c r="J15" s="6"/>
      <c r="K15" s="6"/>
    </row>
    <row r="16" spans="1:11" ht="19.5" customHeight="1" x14ac:dyDescent="0.2">
      <c r="A16" s="215">
        <v>14</v>
      </c>
      <c r="B16" s="216">
        <v>69.789999999999992</v>
      </c>
      <c r="C16" s="6"/>
      <c r="D16" s="6"/>
      <c r="E16" s="6"/>
      <c r="F16" s="6"/>
      <c r="G16" s="6"/>
      <c r="H16" s="6"/>
      <c r="I16" s="6"/>
      <c r="J16" s="6"/>
      <c r="K16" s="6"/>
    </row>
    <row r="17" spans="1:11" ht="19.5" customHeight="1" x14ac:dyDescent="0.2">
      <c r="A17" s="217">
        <v>15</v>
      </c>
      <c r="B17" s="218">
        <v>70.73</v>
      </c>
      <c r="C17" s="6"/>
      <c r="D17" s="6"/>
      <c r="E17" s="6"/>
      <c r="F17" s="6"/>
      <c r="G17" s="6"/>
      <c r="H17" s="6"/>
      <c r="I17" s="6"/>
      <c r="J17" s="6"/>
      <c r="K17" s="6"/>
    </row>
    <row r="18" spans="1:11" ht="19.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ht="19.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19.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ht="19.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ht="19.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ht="19.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19.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ht="19.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ht="19.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ht="19.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19.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ht="19.5" customHeight="1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ht="19.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ht="19.5" customHeight="1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ht="19.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ht="19.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ht="19.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ht="19.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ht="19.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ht="19.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ht="19.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ht="19.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ht="19.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ht="19.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ht="19.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ht="19.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 ht="19.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 ht="19.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 ht="19.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 ht="19.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 ht="19.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 ht="19.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 ht="19.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 ht="19.5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 ht="19.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 ht="19.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1:11" ht="19.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1" ht="19.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 ht="19.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 ht="19.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 ht="19.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</row>
    <row r="59" spans="1:11" ht="19.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11" ht="19.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</row>
    <row r="61" spans="1:11" ht="19.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11" ht="19.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11" ht="19.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11" ht="19.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</row>
    <row r="65" spans="1:11" ht="19.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 ht="19.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 ht="19.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  <row r="68" spans="1:11" ht="19.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  <row r="69" spans="1:11" ht="19.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 ht="19.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ht="19.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ht="19.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ht="19.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ht="19.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ht="19.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ht="19.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ht="19.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ht="19.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ht="19.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ht="19.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ht="19.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ht="19.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ht="19.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ht="19.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ht="19.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ht="19.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ht="19.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ht="19.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ht="19.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ht="19.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ht="19.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ht="19.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ht="19.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 ht="19.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ht="19.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ht="19.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ht="19.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ht="19.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ht="19.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ht="19.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</sheetData>
  <mergeCells count="1">
    <mergeCell ref="A1:B1"/>
  </mergeCells>
  <pageMargins left="0.25" right="0.25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O85"/>
  <sheetViews>
    <sheetView showGridLines="0" zoomScale="90" zoomScaleNormal="90" workbookViewId="0">
      <selection activeCell="E16" sqref="E16"/>
    </sheetView>
  </sheetViews>
  <sheetFormatPr defaultColWidth="14.42578125" defaultRowHeight="15" customHeight="1" x14ac:dyDescent="0.2"/>
  <cols>
    <col min="1" max="1" width="34" bestFit="1" customWidth="1"/>
    <col min="2" max="2" width="44.5703125" bestFit="1" customWidth="1"/>
    <col min="3" max="9" width="14" customWidth="1"/>
    <col min="10" max="10" width="17.85546875" customWidth="1"/>
    <col min="11" max="11" width="13.7109375" bestFit="1" customWidth="1"/>
    <col min="12" max="12" width="11.42578125" bestFit="1" customWidth="1"/>
    <col min="13" max="14" width="17" bestFit="1" customWidth="1"/>
    <col min="15" max="15" width="16" bestFit="1" customWidth="1"/>
  </cols>
  <sheetData>
    <row r="1" spans="1:15" ht="15" customHeight="1" x14ac:dyDescent="0.2">
      <c r="A1" s="443" t="str">
        <f>'ROTA 1 - ÔNIBUS'!A1</f>
        <v>MEDIANEIRA/PR - PREGÃO ELETRÔNICO 67/2024</v>
      </c>
      <c r="B1" s="443"/>
      <c r="C1" s="443"/>
    </row>
    <row r="2" spans="1:15" ht="14.25" customHeight="1" x14ac:dyDescent="0.25">
      <c r="A2" s="446" t="s">
        <v>244</v>
      </c>
      <c r="B2" s="447"/>
      <c r="C2" s="447"/>
      <c r="F2" s="220"/>
      <c r="G2" s="220"/>
      <c r="H2" s="444" t="s">
        <v>245</v>
      </c>
      <c r="I2" s="444"/>
      <c r="J2" s="444"/>
      <c r="K2" s="444"/>
      <c r="L2" s="444"/>
      <c r="M2" s="444"/>
      <c r="N2" s="444"/>
      <c r="O2" s="444"/>
    </row>
    <row r="3" spans="1:15" ht="14.25" customHeight="1" x14ac:dyDescent="0.25">
      <c r="A3" s="219" t="s">
        <v>184</v>
      </c>
      <c r="F3" s="220"/>
      <c r="G3" s="220"/>
      <c r="H3" s="444"/>
      <c r="I3" s="444"/>
      <c r="J3" s="444"/>
      <c r="K3" s="444"/>
      <c r="L3" s="444"/>
      <c r="M3" s="444"/>
      <c r="N3" s="444"/>
      <c r="O3" s="444"/>
    </row>
    <row r="4" spans="1:15" ht="14.25" customHeight="1" x14ac:dyDescent="0.25">
      <c r="A4" s="219" t="s">
        <v>220</v>
      </c>
      <c r="F4" s="220"/>
      <c r="G4" s="220"/>
      <c r="H4" s="219"/>
    </row>
    <row r="5" spans="1:15" ht="14.25" customHeight="1" x14ac:dyDescent="0.25">
      <c r="F5" s="220"/>
      <c r="G5" s="220"/>
    </row>
    <row r="6" spans="1:15" ht="15.75" x14ac:dyDescent="0.25">
      <c r="A6" s="448" t="s">
        <v>185</v>
      </c>
      <c r="B6" s="449"/>
      <c r="C6" s="449"/>
      <c r="D6" s="449"/>
      <c r="E6" s="450"/>
      <c r="F6" s="220"/>
      <c r="G6" s="220"/>
      <c r="H6" s="445" t="s">
        <v>225</v>
      </c>
      <c r="I6" s="445"/>
      <c r="J6" s="445"/>
      <c r="K6" s="445"/>
      <c r="L6" s="445"/>
      <c r="M6" s="445"/>
      <c r="N6" s="445"/>
      <c r="O6" s="445"/>
    </row>
    <row r="7" spans="1:15" x14ac:dyDescent="0.25">
      <c r="A7" s="221" t="s">
        <v>186</v>
      </c>
      <c r="B7" s="221" t="s">
        <v>187</v>
      </c>
      <c r="C7" s="222" t="s">
        <v>188</v>
      </c>
      <c r="D7" s="222" t="s">
        <v>189</v>
      </c>
      <c r="E7" s="222" t="s">
        <v>190</v>
      </c>
      <c r="F7" s="220"/>
      <c r="G7" s="220"/>
      <c r="H7" s="221" t="s">
        <v>212</v>
      </c>
      <c r="I7" s="232" t="s">
        <v>209</v>
      </c>
      <c r="J7" s="232" t="s">
        <v>210</v>
      </c>
      <c r="K7" s="232" t="s">
        <v>211</v>
      </c>
      <c r="L7" s="233" t="s">
        <v>200</v>
      </c>
      <c r="M7" s="233" t="s">
        <v>201</v>
      </c>
      <c r="N7" s="233" t="s">
        <v>203</v>
      </c>
      <c r="O7" s="233" t="s">
        <v>202</v>
      </c>
    </row>
    <row r="8" spans="1:15" ht="26.25" x14ac:dyDescent="0.25">
      <c r="A8" s="223" t="s">
        <v>191</v>
      </c>
      <c r="B8" s="223" t="s">
        <v>192</v>
      </c>
      <c r="C8" s="224" t="s">
        <v>193</v>
      </c>
      <c r="D8" s="225">
        <v>6.34</v>
      </c>
      <c r="E8" s="226">
        <v>45386</v>
      </c>
      <c r="F8" s="220"/>
      <c r="G8" s="220"/>
      <c r="H8" s="227" t="s">
        <v>204</v>
      </c>
      <c r="I8" s="234">
        <v>2027.5</v>
      </c>
      <c r="J8" s="234">
        <v>2198.9899999999998</v>
      </c>
      <c r="K8" s="235">
        <v>1558</v>
      </c>
      <c r="L8" s="240">
        <f>ROUND(AVERAGE(I8:K8),2)</f>
        <v>1928.16</v>
      </c>
      <c r="M8" s="237">
        <f>_xlfn.STDEV.P(I8:K8)</f>
        <v>270.94633544096746</v>
      </c>
      <c r="N8" s="237">
        <f>MAX(I8:K8)</f>
        <v>2198.9899999999998</v>
      </c>
      <c r="O8" s="237">
        <f>MIN(I8:K8)</f>
        <v>1558</v>
      </c>
    </row>
    <row r="9" spans="1:15" ht="26.25" x14ac:dyDescent="0.25">
      <c r="A9" s="223" t="s">
        <v>194</v>
      </c>
      <c r="B9" s="223" t="s">
        <v>214</v>
      </c>
      <c r="C9" s="224" t="s">
        <v>195</v>
      </c>
      <c r="D9" s="225">
        <v>6.75</v>
      </c>
      <c r="E9" s="226">
        <v>45386</v>
      </c>
      <c r="F9" s="220"/>
      <c r="G9" s="220"/>
      <c r="H9" s="227" t="s">
        <v>238</v>
      </c>
      <c r="I9" s="234">
        <v>2251</v>
      </c>
      <c r="J9" s="234">
        <v>2090.9899999999998</v>
      </c>
      <c r="K9" s="235">
        <v>1867.5</v>
      </c>
      <c r="L9" s="240">
        <f t="shared" ref="L9:L18" si="0">ROUND(AVERAGE(I9:K9),2)</f>
        <v>2069.83</v>
      </c>
      <c r="M9" s="237">
        <f t="shared" ref="M9:M15" si="1">_xlfn.STDEV.P(I9:K9)</f>
        <v>157.27655409076925</v>
      </c>
      <c r="N9" s="237">
        <f t="shared" ref="N9:N15" si="2">MAX(I9:K9)</f>
        <v>2251</v>
      </c>
      <c r="O9" s="237">
        <f t="shared" ref="O9:O15" si="3">MIN(I9:K9)</f>
        <v>1867.5</v>
      </c>
    </row>
    <row r="10" spans="1:15" ht="26.25" x14ac:dyDescent="0.25">
      <c r="A10" s="223" t="s">
        <v>215</v>
      </c>
      <c r="B10" s="223" t="s">
        <v>216</v>
      </c>
      <c r="C10" s="224" t="s">
        <v>196</v>
      </c>
      <c r="D10" s="225">
        <v>6.54</v>
      </c>
      <c r="E10" s="226">
        <v>45386</v>
      </c>
      <c r="F10" s="220"/>
      <c r="G10" s="220"/>
      <c r="H10" s="227" t="s">
        <v>205</v>
      </c>
      <c r="I10" s="234">
        <v>450</v>
      </c>
      <c r="J10" s="234">
        <v>795.01</v>
      </c>
      <c r="K10" s="235">
        <v>799.01</v>
      </c>
      <c r="L10" s="240">
        <f t="shared" si="0"/>
        <v>681.34</v>
      </c>
      <c r="M10" s="237">
        <f t="shared" si="1"/>
        <v>163.59023340855839</v>
      </c>
      <c r="N10" s="237">
        <f t="shared" si="2"/>
        <v>799.01</v>
      </c>
      <c r="O10" s="237">
        <f t="shared" si="3"/>
        <v>450</v>
      </c>
    </row>
    <row r="11" spans="1:15" ht="26.25" x14ac:dyDescent="0.25">
      <c r="A11" s="223" t="s">
        <v>197</v>
      </c>
      <c r="B11" s="223" t="s">
        <v>198</v>
      </c>
      <c r="C11" s="224" t="s">
        <v>199</v>
      </c>
      <c r="D11" s="225">
        <v>6.19</v>
      </c>
      <c r="E11" s="226">
        <v>45387</v>
      </c>
      <c r="F11" s="220"/>
      <c r="G11" s="220"/>
      <c r="H11" s="227" t="s">
        <v>236</v>
      </c>
      <c r="I11" s="234">
        <v>839</v>
      </c>
      <c r="J11" s="234">
        <v>530</v>
      </c>
      <c r="K11" s="235">
        <v>828</v>
      </c>
      <c r="L11" s="240">
        <f t="shared" si="0"/>
        <v>732.33</v>
      </c>
      <c r="M11" s="237">
        <f t="shared" si="1"/>
        <v>143.14173240378068</v>
      </c>
      <c r="N11" s="237">
        <f t="shared" si="2"/>
        <v>839</v>
      </c>
      <c r="O11" s="237">
        <f t="shared" si="3"/>
        <v>530</v>
      </c>
    </row>
    <row r="12" spans="1:15" ht="26.25" x14ac:dyDescent="0.25">
      <c r="A12" s="227"/>
      <c r="B12" s="227"/>
      <c r="C12" s="228"/>
      <c r="D12" s="228"/>
      <c r="E12" s="229"/>
      <c r="F12" s="220"/>
      <c r="G12" s="220"/>
      <c r="H12" s="227" t="s">
        <v>206</v>
      </c>
      <c r="I12" s="234">
        <v>1695.99</v>
      </c>
      <c r="J12" s="234">
        <v>1759.19</v>
      </c>
      <c r="K12" s="234">
        <v>1490</v>
      </c>
      <c r="L12" s="240">
        <f t="shared" si="0"/>
        <v>1648.39</v>
      </c>
      <c r="M12" s="237">
        <f t="shared" si="1"/>
        <v>114.9344625814594</v>
      </c>
      <c r="N12" s="237">
        <f t="shared" si="2"/>
        <v>1759.19</v>
      </c>
      <c r="O12" s="237">
        <f t="shared" si="3"/>
        <v>1490</v>
      </c>
    </row>
    <row r="13" spans="1:15" ht="26.25" x14ac:dyDescent="0.25">
      <c r="F13" s="220"/>
      <c r="G13" s="220"/>
      <c r="H13" s="255" t="s">
        <v>237</v>
      </c>
      <c r="I13" s="236">
        <v>532</v>
      </c>
      <c r="J13" s="236">
        <v>436.5</v>
      </c>
      <c r="K13" s="236">
        <v>460</v>
      </c>
      <c r="L13" s="240">
        <f t="shared" si="0"/>
        <v>476.17</v>
      </c>
      <c r="M13" s="237">
        <f t="shared" si="1"/>
        <v>40.629080991602827</v>
      </c>
      <c r="N13" s="237">
        <f t="shared" si="2"/>
        <v>532</v>
      </c>
      <c r="O13" s="237">
        <f t="shared" si="3"/>
        <v>436.5</v>
      </c>
    </row>
    <row r="14" spans="1:15" ht="26.25" x14ac:dyDescent="0.25">
      <c r="A14" s="451" t="s">
        <v>189</v>
      </c>
      <c r="B14" s="396"/>
      <c r="F14" s="220"/>
      <c r="G14" s="220"/>
      <c r="H14" s="254" t="s">
        <v>207</v>
      </c>
      <c r="I14" s="236">
        <v>370</v>
      </c>
      <c r="J14" s="236">
        <v>480</v>
      </c>
      <c r="K14" s="236">
        <v>680</v>
      </c>
      <c r="L14" s="240">
        <f t="shared" si="0"/>
        <v>510</v>
      </c>
      <c r="M14" s="237">
        <f t="shared" si="1"/>
        <v>128.3225103661344</v>
      </c>
      <c r="N14" s="237">
        <f t="shared" si="2"/>
        <v>680</v>
      </c>
      <c r="O14" s="237">
        <f t="shared" si="3"/>
        <v>370</v>
      </c>
    </row>
    <row r="15" spans="1:15" ht="51.75" x14ac:dyDescent="0.25">
      <c r="A15" s="230" t="s">
        <v>200</v>
      </c>
      <c r="B15" s="231">
        <f>AVERAGE(D8:D12)</f>
        <v>6.4550000000000001</v>
      </c>
      <c r="F15" s="220"/>
      <c r="G15" s="220"/>
      <c r="H15" s="254" t="s">
        <v>208</v>
      </c>
      <c r="I15" s="236">
        <v>480</v>
      </c>
      <c r="J15" s="236">
        <v>428.45</v>
      </c>
      <c r="K15" s="236">
        <v>460</v>
      </c>
      <c r="L15" s="240">
        <f t="shared" si="0"/>
        <v>456.15</v>
      </c>
      <c r="M15" s="237">
        <f t="shared" si="1"/>
        <v>21.220548217863431</v>
      </c>
      <c r="N15" s="237">
        <f t="shared" si="2"/>
        <v>480</v>
      </c>
      <c r="O15" s="237">
        <f t="shared" si="3"/>
        <v>428.45</v>
      </c>
    </row>
    <row r="16" spans="1:15" ht="17.25" customHeight="1" x14ac:dyDescent="0.25">
      <c r="A16" s="230" t="s">
        <v>201</v>
      </c>
      <c r="B16" s="231">
        <f>_xlfn.STDEV.P(D8:D12)</f>
        <v>0.21077238908357981</v>
      </c>
      <c r="F16" s="220"/>
      <c r="G16" s="220"/>
      <c r="H16" s="254" t="s">
        <v>217</v>
      </c>
      <c r="I16" s="241">
        <v>1470</v>
      </c>
      <c r="J16" s="241">
        <v>740</v>
      </c>
      <c r="K16" s="241">
        <v>750</v>
      </c>
      <c r="L16" s="242">
        <f t="shared" si="0"/>
        <v>986.67</v>
      </c>
      <c r="M16" s="237">
        <f t="shared" ref="M16:M18" si="4">_xlfn.STDEV.P(I16:K16)</f>
        <v>341.79265969622901</v>
      </c>
      <c r="N16" s="237">
        <f t="shared" ref="N16:N18" si="5">MAX(I16:K16)</f>
        <v>1470</v>
      </c>
      <c r="O16" s="237">
        <f t="shared" ref="O16:O18" si="6">MIN(I16:K16)</f>
        <v>740</v>
      </c>
    </row>
    <row r="17" spans="1:15" ht="39" x14ac:dyDescent="0.25">
      <c r="A17" s="230" t="s">
        <v>202</v>
      </c>
      <c r="B17" s="231">
        <f>MIN(D8:D12)</f>
        <v>6.19</v>
      </c>
      <c r="F17" s="220"/>
      <c r="G17" s="220"/>
      <c r="H17" s="254" t="s">
        <v>218</v>
      </c>
      <c r="I17" s="241">
        <v>431</v>
      </c>
      <c r="J17" s="241">
        <v>310</v>
      </c>
      <c r="K17" s="241">
        <v>300</v>
      </c>
      <c r="L17" s="242">
        <f t="shared" si="0"/>
        <v>347</v>
      </c>
      <c r="M17" s="237">
        <f t="shared" si="4"/>
        <v>59.537103277424123</v>
      </c>
      <c r="N17" s="237">
        <f t="shared" si="5"/>
        <v>431</v>
      </c>
      <c r="O17" s="237">
        <f t="shared" si="6"/>
        <v>300</v>
      </c>
    </row>
    <row r="18" spans="1:15" ht="26.25" x14ac:dyDescent="0.25">
      <c r="A18" s="230" t="s">
        <v>203</v>
      </c>
      <c r="B18" s="231">
        <f>MAX(D8:D12)</f>
        <v>6.75</v>
      </c>
      <c r="F18" s="220"/>
      <c r="G18" s="220"/>
      <c r="H18" s="254" t="s">
        <v>219</v>
      </c>
      <c r="I18" s="241">
        <v>741</v>
      </c>
      <c r="J18" s="241">
        <v>444.99</v>
      </c>
      <c r="K18" s="241">
        <v>566.99</v>
      </c>
      <c r="L18" s="242">
        <f t="shared" si="0"/>
        <v>584.33000000000004</v>
      </c>
      <c r="M18" s="237">
        <f t="shared" si="4"/>
        <v>121.46577030404721</v>
      </c>
      <c r="N18" s="237">
        <f t="shared" si="5"/>
        <v>741</v>
      </c>
      <c r="O18" s="237">
        <f t="shared" si="6"/>
        <v>444.99</v>
      </c>
    </row>
    <row r="19" spans="1:15" ht="14.25" customHeight="1" x14ac:dyDescent="0.25">
      <c r="A19" s="262" t="s">
        <v>246</v>
      </c>
      <c r="B19" s="261">
        <v>45386</v>
      </c>
      <c r="F19" s="220"/>
      <c r="G19" s="220"/>
    </row>
    <row r="20" spans="1:15" ht="14.25" customHeight="1" x14ac:dyDescent="0.25">
      <c r="A20" s="220"/>
      <c r="B20" s="220"/>
      <c r="C20" s="220"/>
      <c r="D20" s="220"/>
      <c r="E20" s="220"/>
      <c r="F20" s="220"/>
      <c r="G20" s="220"/>
      <c r="H20" s="239" t="s">
        <v>213</v>
      </c>
      <c r="I20" s="220"/>
      <c r="J20" s="220"/>
    </row>
    <row r="21" spans="1:15" ht="14.25" customHeight="1" x14ac:dyDescent="0.25">
      <c r="A21" s="220"/>
      <c r="B21" s="220"/>
      <c r="C21" s="220"/>
      <c r="D21" s="220"/>
      <c r="E21" s="220"/>
      <c r="F21" s="220"/>
      <c r="G21" s="220"/>
      <c r="H21" s="452"/>
      <c r="I21" s="453"/>
      <c r="J21" s="220"/>
    </row>
    <row r="22" spans="1:15" ht="14.25" customHeight="1" x14ac:dyDescent="0.25">
      <c r="A22" s="220"/>
      <c r="B22" s="220"/>
      <c r="C22" s="220"/>
      <c r="D22" s="220"/>
      <c r="E22" s="220"/>
      <c r="F22" s="220"/>
      <c r="G22" s="220"/>
      <c r="H22" s="219"/>
      <c r="I22" s="238"/>
      <c r="J22" s="220"/>
    </row>
    <row r="23" spans="1:15" ht="14.25" customHeight="1" x14ac:dyDescent="0.25">
      <c r="A23" s="220"/>
      <c r="B23" s="220"/>
      <c r="C23" s="220"/>
      <c r="D23" s="220"/>
      <c r="E23" s="220"/>
      <c r="F23" s="220"/>
      <c r="G23" s="220"/>
      <c r="H23" s="219"/>
      <c r="I23" s="238"/>
      <c r="J23" s="220"/>
    </row>
    <row r="24" spans="1:15" ht="14.25" customHeight="1" x14ac:dyDescent="0.25">
      <c r="I24" s="238"/>
      <c r="J24" s="220"/>
    </row>
    <row r="25" spans="1:15" ht="14.25" customHeight="1" x14ac:dyDescent="0.25">
      <c r="A25" s="219"/>
      <c r="I25" s="238"/>
      <c r="J25" s="220"/>
    </row>
    <row r="26" spans="1:15" ht="14.25" customHeight="1" x14ac:dyDescent="0.25">
      <c r="B26" s="260" t="s">
        <v>226</v>
      </c>
      <c r="C26" s="247" t="s">
        <v>227</v>
      </c>
      <c r="D26" s="245" t="s">
        <v>228</v>
      </c>
      <c r="I26" s="246"/>
      <c r="J26" s="246"/>
      <c r="K26" s="246"/>
    </row>
    <row r="27" spans="1:15" ht="14.25" customHeight="1" x14ac:dyDescent="0.25">
      <c r="I27" s="220"/>
      <c r="J27" s="220"/>
    </row>
    <row r="28" spans="1:15" ht="14.25" customHeight="1" x14ac:dyDescent="0.2">
      <c r="A28" s="454" t="s">
        <v>231</v>
      </c>
      <c r="B28" s="455"/>
      <c r="C28" s="455"/>
      <c r="D28" s="455"/>
      <c r="E28" s="455"/>
      <c r="F28" s="455"/>
      <c r="G28" s="455"/>
      <c r="H28" s="455"/>
      <c r="I28" s="455"/>
      <c r="J28" s="455"/>
    </row>
    <row r="29" spans="1:15" ht="14.25" customHeight="1" x14ac:dyDescent="0.25">
      <c r="A29" s="221" t="s">
        <v>212</v>
      </c>
      <c r="B29" s="232" t="s">
        <v>235</v>
      </c>
      <c r="C29" s="253">
        <v>2014</v>
      </c>
      <c r="D29" s="253">
        <v>2015</v>
      </c>
      <c r="E29" s="253">
        <v>2016</v>
      </c>
      <c r="F29" s="253">
        <v>2017</v>
      </c>
      <c r="G29" s="253">
        <v>2018</v>
      </c>
      <c r="H29" s="232" t="s">
        <v>200</v>
      </c>
    </row>
    <row r="30" spans="1:15" ht="14.25" customHeight="1" x14ac:dyDescent="0.2">
      <c r="A30" s="252" t="s">
        <v>319</v>
      </c>
      <c r="B30" s="234" t="s">
        <v>239</v>
      </c>
      <c r="C30" s="257">
        <v>130477</v>
      </c>
      <c r="D30" s="258">
        <v>137943</v>
      </c>
      <c r="E30" s="257"/>
      <c r="F30" s="257">
        <v>145182</v>
      </c>
      <c r="G30" s="257"/>
      <c r="H30" s="256">
        <f>ROUND(MEDIAN(C30:G30),2)</f>
        <v>137943</v>
      </c>
      <c r="I30" s="239" t="s">
        <v>243</v>
      </c>
    </row>
    <row r="31" spans="1:15" ht="14.25" customHeight="1" x14ac:dyDescent="0.2">
      <c r="A31" s="252" t="s">
        <v>230</v>
      </c>
      <c r="B31" s="234" t="s">
        <v>240</v>
      </c>
      <c r="C31" s="257">
        <v>145298</v>
      </c>
      <c r="D31" s="258">
        <v>158205</v>
      </c>
      <c r="E31" s="257">
        <v>166116</v>
      </c>
      <c r="F31" s="257">
        <v>174421</v>
      </c>
      <c r="G31" s="257">
        <v>188075</v>
      </c>
      <c r="H31" s="256">
        <f>ROUND(MEDIAN(C31:G31),2)</f>
        <v>166116</v>
      </c>
      <c r="I31" s="239" t="s">
        <v>243</v>
      </c>
    </row>
    <row r="32" spans="1:15" ht="14.25" customHeight="1" x14ac:dyDescent="0.25">
      <c r="I32" s="220"/>
      <c r="J32" s="220"/>
    </row>
    <row r="33" spans="1:10" ht="14.25" customHeight="1" x14ac:dyDescent="0.25">
      <c r="A33" s="239" t="s">
        <v>213</v>
      </c>
      <c r="B33" s="220"/>
      <c r="C33" s="220"/>
      <c r="I33" s="220"/>
      <c r="J33" s="220"/>
    </row>
    <row r="34" spans="1:10" ht="14.25" customHeight="1" x14ac:dyDescent="0.25">
      <c r="A34" s="239"/>
      <c r="B34" s="220"/>
      <c r="C34" s="220"/>
      <c r="I34" s="220"/>
      <c r="J34" s="220"/>
    </row>
    <row r="35" spans="1:10" ht="14.25" customHeight="1" x14ac:dyDescent="0.25">
      <c r="A35" s="239"/>
      <c r="B35" s="220"/>
      <c r="C35" s="220"/>
      <c r="I35" s="220"/>
      <c r="J35" s="220"/>
    </row>
    <row r="36" spans="1:10" ht="14.25" customHeight="1" x14ac:dyDescent="0.25">
      <c r="A36" s="239"/>
      <c r="B36" s="259" t="s">
        <v>233</v>
      </c>
      <c r="C36" s="250" t="s">
        <v>227</v>
      </c>
      <c r="D36" s="251" t="s">
        <v>338</v>
      </c>
      <c r="I36" s="220"/>
      <c r="J36" s="220"/>
    </row>
    <row r="37" spans="1:10" ht="14.25" customHeight="1" x14ac:dyDescent="0.25">
      <c r="A37" s="239"/>
      <c r="B37" s="220" t="s">
        <v>339</v>
      </c>
      <c r="C37" s="220"/>
      <c r="I37" s="220"/>
      <c r="J37" s="220"/>
    </row>
    <row r="38" spans="1:10" ht="14.25" customHeight="1" x14ac:dyDescent="0.25">
      <c r="A38" s="239"/>
      <c r="B38" s="220" t="s">
        <v>340</v>
      </c>
      <c r="C38" s="220"/>
      <c r="I38" s="220"/>
      <c r="J38" s="220"/>
    </row>
    <row r="39" spans="1:10" ht="14.25" customHeight="1" x14ac:dyDescent="0.25">
      <c r="A39" s="239"/>
      <c r="B39" s="220" t="s">
        <v>343</v>
      </c>
      <c r="C39" s="220"/>
      <c r="I39" s="220"/>
      <c r="J39" s="220"/>
    </row>
    <row r="40" spans="1:10" ht="14.25" customHeight="1" x14ac:dyDescent="0.25">
      <c r="A40" s="239"/>
      <c r="B40" s="220" t="s">
        <v>344</v>
      </c>
      <c r="C40" s="220"/>
      <c r="I40" s="220"/>
      <c r="J40" s="220"/>
    </row>
    <row r="41" spans="1:10" ht="14.25" customHeight="1" x14ac:dyDescent="0.25">
      <c r="A41" s="220"/>
      <c r="B41" s="220" t="s">
        <v>345</v>
      </c>
      <c r="D41" s="220"/>
      <c r="E41" s="220"/>
      <c r="F41" s="220"/>
      <c r="G41" s="220"/>
      <c r="H41" s="220"/>
      <c r="I41" s="220"/>
      <c r="J41" s="220"/>
    </row>
    <row r="42" spans="1:10" ht="14.25" customHeight="1" x14ac:dyDescent="0.25">
      <c r="A42" s="220"/>
      <c r="B42" s="220"/>
      <c r="D42" s="220"/>
      <c r="E42" s="220"/>
      <c r="F42" s="220"/>
      <c r="G42" s="220"/>
      <c r="H42" s="220"/>
      <c r="I42" s="220"/>
      <c r="J42" s="220"/>
    </row>
    <row r="43" spans="1:10" ht="14.25" customHeight="1" x14ac:dyDescent="0.25">
      <c r="A43" s="456" t="s">
        <v>232</v>
      </c>
      <c r="B43" s="457"/>
      <c r="C43" s="458"/>
      <c r="D43" s="220"/>
      <c r="E43" s="220"/>
      <c r="F43" s="220"/>
      <c r="G43" s="220"/>
      <c r="H43" s="220"/>
      <c r="I43" s="220"/>
      <c r="J43" s="220"/>
    </row>
    <row r="44" spans="1:10" ht="14.25" customHeight="1" x14ac:dyDescent="0.25">
      <c r="A44" s="459" t="s">
        <v>234</v>
      </c>
      <c r="B44" s="460"/>
      <c r="C44" s="232" t="s">
        <v>229</v>
      </c>
      <c r="D44" s="220"/>
      <c r="E44" s="220"/>
      <c r="F44" s="220"/>
      <c r="G44" s="220"/>
      <c r="H44" s="220"/>
      <c r="I44" s="220"/>
      <c r="J44" s="220"/>
    </row>
    <row r="45" spans="1:10" ht="14.25" customHeight="1" x14ac:dyDescent="0.25">
      <c r="A45" s="441" t="s">
        <v>341</v>
      </c>
      <c r="B45" s="442"/>
      <c r="C45" s="234">
        <v>2940</v>
      </c>
      <c r="D45" s="220"/>
      <c r="E45" s="220"/>
      <c r="F45" s="220"/>
      <c r="G45" s="220"/>
      <c r="H45" s="220"/>
      <c r="I45" s="220"/>
      <c r="J45" s="220"/>
    </row>
    <row r="46" spans="1:10" ht="14.25" customHeight="1" x14ac:dyDescent="0.25">
      <c r="A46" s="441" t="s">
        <v>342</v>
      </c>
      <c r="B46" s="442"/>
      <c r="C46" s="234">
        <v>2440</v>
      </c>
      <c r="D46" s="220"/>
      <c r="E46" s="220"/>
      <c r="F46" s="220"/>
      <c r="G46" s="220"/>
      <c r="H46" s="220"/>
      <c r="I46" s="220"/>
      <c r="J46" s="220"/>
    </row>
    <row r="47" spans="1:10" ht="14.25" customHeight="1" x14ac:dyDescent="0.25">
      <c r="A47" s="441"/>
      <c r="B47" s="442"/>
      <c r="C47" s="234"/>
      <c r="D47" s="220"/>
      <c r="E47" s="220"/>
      <c r="F47" s="220"/>
      <c r="G47" s="220"/>
      <c r="H47" s="220"/>
      <c r="I47" s="220"/>
      <c r="J47" s="220"/>
    </row>
    <row r="48" spans="1:10" ht="14.25" customHeight="1" x14ac:dyDescent="0.25">
      <c r="A48" s="441" t="s">
        <v>317</v>
      </c>
      <c r="B48" s="442"/>
      <c r="C48" s="234">
        <v>512</v>
      </c>
      <c r="D48" s="220"/>
      <c r="E48" s="220"/>
      <c r="F48" s="220"/>
      <c r="G48" s="220"/>
      <c r="H48" s="220"/>
      <c r="I48" s="220"/>
      <c r="J48" s="220"/>
    </row>
    <row r="49" spans="1:10" ht="14.25" customHeight="1" x14ac:dyDescent="0.25">
      <c r="A49" s="220"/>
      <c r="B49" s="220"/>
      <c r="C49" s="220"/>
      <c r="D49" s="220"/>
      <c r="E49" s="220"/>
      <c r="F49" s="220"/>
      <c r="G49" s="220"/>
      <c r="H49" s="220"/>
      <c r="I49" s="220"/>
      <c r="J49" s="220"/>
    </row>
    <row r="50" spans="1:10" ht="14.25" customHeight="1" x14ac:dyDescent="0.25">
      <c r="A50" s="220"/>
      <c r="B50" s="220"/>
      <c r="C50" s="220"/>
      <c r="D50" s="220"/>
      <c r="E50" s="220"/>
      <c r="F50" s="220"/>
      <c r="G50" s="220"/>
      <c r="H50" s="220"/>
      <c r="I50" s="220"/>
      <c r="J50" s="220"/>
    </row>
    <row r="51" spans="1:10" ht="14.25" customHeight="1" x14ac:dyDescent="0.25">
      <c r="A51" s="220"/>
      <c r="B51" s="220"/>
      <c r="C51" s="220"/>
      <c r="D51" s="220"/>
      <c r="E51" s="220"/>
      <c r="F51" s="220"/>
      <c r="G51" s="220"/>
      <c r="H51" s="220"/>
      <c r="I51" s="220"/>
      <c r="J51" s="220"/>
    </row>
    <row r="52" spans="1:10" ht="14.25" customHeight="1" x14ac:dyDescent="0.25">
      <c r="A52" s="220"/>
      <c r="B52" s="220"/>
      <c r="C52" s="220"/>
      <c r="D52" s="220"/>
      <c r="E52" s="220"/>
      <c r="F52" s="220"/>
      <c r="G52" s="220"/>
      <c r="H52" s="220"/>
      <c r="I52" s="220"/>
      <c r="J52" s="220"/>
    </row>
    <row r="53" spans="1:10" ht="14.25" customHeight="1" x14ac:dyDescent="0.25">
      <c r="A53" s="220"/>
      <c r="B53" s="220"/>
      <c r="C53" s="220"/>
      <c r="D53" s="220"/>
      <c r="E53" s="220"/>
      <c r="F53" s="220"/>
      <c r="G53" s="220"/>
      <c r="H53" s="220"/>
      <c r="I53" s="220"/>
      <c r="J53" s="220"/>
    </row>
    <row r="54" spans="1:10" ht="14.25" customHeight="1" x14ac:dyDescent="0.25">
      <c r="A54" s="220"/>
      <c r="B54" s="220"/>
      <c r="C54" s="220"/>
      <c r="D54" s="220"/>
      <c r="E54" s="220"/>
      <c r="F54" s="220"/>
      <c r="G54" s="220"/>
      <c r="H54" s="220"/>
      <c r="I54" s="220"/>
      <c r="J54" s="220"/>
    </row>
    <row r="55" spans="1:10" ht="14.25" customHeight="1" x14ac:dyDescent="0.25">
      <c r="A55" s="220"/>
      <c r="B55" s="220"/>
      <c r="C55" s="220"/>
      <c r="D55" s="220"/>
      <c r="E55" s="220"/>
      <c r="F55" s="220"/>
      <c r="G55" s="220"/>
      <c r="H55" s="220"/>
      <c r="I55" s="220"/>
      <c r="J55" s="220"/>
    </row>
    <row r="56" spans="1:10" ht="14.25" customHeight="1" x14ac:dyDescent="0.25">
      <c r="A56" s="220"/>
      <c r="B56" s="220"/>
      <c r="C56" s="220"/>
      <c r="D56" s="220"/>
      <c r="E56" s="220"/>
      <c r="F56" s="220"/>
      <c r="G56" s="220"/>
      <c r="H56" s="220"/>
      <c r="I56" s="220"/>
      <c r="J56" s="220"/>
    </row>
    <row r="57" spans="1:10" ht="14.25" customHeight="1" x14ac:dyDescent="0.25">
      <c r="A57" s="220"/>
      <c r="B57" s="220"/>
      <c r="C57" s="220"/>
      <c r="D57" s="220"/>
      <c r="E57" s="220"/>
      <c r="F57" s="220"/>
      <c r="G57" s="220"/>
      <c r="H57" s="220"/>
      <c r="I57" s="220"/>
      <c r="J57" s="220"/>
    </row>
    <row r="58" spans="1:10" ht="14.25" customHeight="1" x14ac:dyDescent="0.25">
      <c r="A58" s="220"/>
      <c r="B58" s="220"/>
      <c r="C58" s="220"/>
      <c r="D58" s="220"/>
      <c r="E58" s="220"/>
      <c r="F58" s="220"/>
      <c r="G58" s="220"/>
      <c r="H58" s="220"/>
      <c r="I58" s="220"/>
      <c r="J58" s="220"/>
    </row>
    <row r="59" spans="1:10" ht="14.25" customHeight="1" x14ac:dyDescent="0.25">
      <c r="A59" s="220"/>
      <c r="B59" s="220"/>
      <c r="C59" s="220"/>
      <c r="D59" s="220"/>
      <c r="E59" s="220"/>
      <c r="F59" s="220"/>
      <c r="G59" s="220"/>
      <c r="H59" s="220"/>
      <c r="I59" s="220"/>
      <c r="J59" s="220"/>
    </row>
    <row r="60" spans="1:10" ht="14.25" customHeight="1" x14ac:dyDescent="0.25">
      <c r="A60" s="220"/>
      <c r="B60" s="220"/>
      <c r="C60" s="220"/>
      <c r="D60" s="220"/>
      <c r="E60" s="220"/>
      <c r="F60" s="220"/>
      <c r="G60" s="220"/>
      <c r="H60" s="220"/>
      <c r="I60" s="220"/>
      <c r="J60" s="220"/>
    </row>
    <row r="61" spans="1:10" ht="14.25" customHeight="1" x14ac:dyDescent="0.25">
      <c r="A61" s="220"/>
      <c r="B61" s="220"/>
      <c r="C61" s="220"/>
      <c r="D61" s="220"/>
      <c r="E61" s="220"/>
      <c r="F61" s="220"/>
      <c r="G61" s="220"/>
      <c r="H61" s="220"/>
      <c r="I61" s="220"/>
      <c r="J61" s="220"/>
    </row>
    <row r="62" spans="1:10" ht="14.25" customHeight="1" x14ac:dyDescent="0.25">
      <c r="A62" s="220"/>
      <c r="B62" s="220"/>
      <c r="C62" s="220"/>
      <c r="D62" s="220"/>
      <c r="E62" s="220"/>
      <c r="F62" s="220"/>
      <c r="G62" s="220"/>
      <c r="H62" s="220"/>
      <c r="I62" s="220"/>
      <c r="J62" s="220"/>
    </row>
    <row r="63" spans="1:10" ht="14.25" customHeight="1" x14ac:dyDescent="0.25">
      <c r="A63" s="220"/>
      <c r="B63" s="220"/>
      <c r="C63" s="220"/>
      <c r="D63" s="220"/>
      <c r="E63" s="220"/>
      <c r="F63" s="220"/>
      <c r="G63" s="220"/>
      <c r="H63" s="220"/>
      <c r="I63" s="220"/>
      <c r="J63" s="220"/>
    </row>
    <row r="64" spans="1:10" ht="14.25" customHeight="1" x14ac:dyDescent="0.25">
      <c r="A64" s="220"/>
      <c r="B64" s="220"/>
      <c r="C64" s="220"/>
      <c r="D64" s="220"/>
      <c r="E64" s="220"/>
      <c r="F64" s="220"/>
      <c r="G64" s="220"/>
      <c r="H64" s="220"/>
      <c r="I64" s="220"/>
      <c r="J64" s="220"/>
    </row>
    <row r="65" spans="1:10" ht="14.25" customHeight="1" x14ac:dyDescent="0.25">
      <c r="A65" s="220"/>
      <c r="B65" s="220"/>
      <c r="C65" s="220"/>
      <c r="D65" s="220"/>
      <c r="E65" s="220"/>
      <c r="F65" s="220"/>
      <c r="G65" s="220"/>
      <c r="H65" s="220"/>
      <c r="I65" s="220"/>
      <c r="J65" s="220"/>
    </row>
    <row r="66" spans="1:10" ht="14.25" customHeight="1" x14ac:dyDescent="0.25">
      <c r="A66" s="220"/>
      <c r="B66" s="220"/>
      <c r="C66" s="220"/>
      <c r="D66" s="220"/>
      <c r="E66" s="220"/>
      <c r="F66" s="220"/>
      <c r="G66" s="220"/>
      <c r="H66" s="220"/>
      <c r="I66" s="220"/>
      <c r="J66" s="220"/>
    </row>
    <row r="67" spans="1:10" ht="14.25" customHeight="1" x14ac:dyDescent="0.25">
      <c r="A67" s="220"/>
      <c r="B67" s="220"/>
      <c r="C67" s="220"/>
      <c r="D67" s="220"/>
      <c r="E67" s="220"/>
      <c r="F67" s="220"/>
      <c r="G67" s="220"/>
      <c r="H67" s="220"/>
      <c r="I67" s="220"/>
      <c r="J67" s="220"/>
    </row>
    <row r="68" spans="1:10" ht="14.25" customHeight="1" x14ac:dyDescent="0.25">
      <c r="A68" s="220"/>
      <c r="B68" s="220"/>
      <c r="C68" s="220"/>
      <c r="D68" s="220"/>
      <c r="E68" s="220"/>
      <c r="F68" s="220"/>
      <c r="G68" s="220"/>
      <c r="H68" s="220"/>
      <c r="I68" s="220"/>
      <c r="J68" s="220"/>
    </row>
    <row r="69" spans="1:10" ht="14.25" customHeight="1" x14ac:dyDescent="0.25">
      <c r="A69" s="220"/>
      <c r="B69" s="220"/>
      <c r="C69" s="220"/>
      <c r="D69" s="220"/>
      <c r="E69" s="220"/>
      <c r="F69" s="220"/>
      <c r="G69" s="220"/>
      <c r="H69" s="220"/>
      <c r="I69" s="220"/>
      <c r="J69" s="220"/>
    </row>
    <row r="70" spans="1:10" ht="14.25" customHeight="1" x14ac:dyDescent="0.25">
      <c r="A70" s="220"/>
      <c r="B70" s="220"/>
      <c r="C70" s="220"/>
      <c r="D70" s="220"/>
      <c r="E70" s="220"/>
      <c r="F70" s="220"/>
      <c r="G70" s="220"/>
      <c r="H70" s="220"/>
      <c r="I70" s="220"/>
      <c r="J70" s="220"/>
    </row>
    <row r="71" spans="1:10" ht="14.25" customHeight="1" x14ac:dyDescent="0.25">
      <c r="A71" s="220"/>
      <c r="B71" s="220"/>
      <c r="C71" s="220"/>
      <c r="D71" s="220"/>
      <c r="E71" s="220"/>
      <c r="F71" s="220"/>
      <c r="G71" s="220"/>
      <c r="H71" s="220"/>
      <c r="I71" s="220"/>
      <c r="J71" s="220"/>
    </row>
    <row r="72" spans="1:10" ht="14.25" customHeight="1" x14ac:dyDescent="0.25">
      <c r="A72" s="220"/>
      <c r="B72" s="220"/>
      <c r="C72" s="220"/>
      <c r="D72" s="220"/>
      <c r="E72" s="220"/>
      <c r="F72" s="220"/>
      <c r="G72" s="220"/>
      <c r="H72" s="220"/>
      <c r="I72" s="220"/>
      <c r="J72" s="220"/>
    </row>
    <row r="73" spans="1:10" ht="14.25" customHeight="1" x14ac:dyDescent="0.25">
      <c r="A73" s="220"/>
      <c r="B73" s="220"/>
      <c r="C73" s="220"/>
      <c r="D73" s="220"/>
      <c r="E73" s="220"/>
      <c r="F73" s="220"/>
      <c r="G73" s="220"/>
      <c r="H73" s="220"/>
      <c r="I73" s="220"/>
      <c r="J73" s="220"/>
    </row>
    <row r="74" spans="1:10" ht="14.25" customHeight="1" x14ac:dyDescent="0.25">
      <c r="A74" s="220"/>
      <c r="B74" s="220"/>
      <c r="C74" s="220"/>
      <c r="D74" s="220"/>
      <c r="E74" s="220"/>
      <c r="F74" s="220"/>
      <c r="G74" s="220"/>
      <c r="H74" s="220"/>
      <c r="I74" s="220"/>
      <c r="J74" s="220"/>
    </row>
    <row r="75" spans="1:10" ht="14.25" customHeight="1" x14ac:dyDescent="0.25">
      <c r="A75" s="220"/>
      <c r="B75" s="220"/>
      <c r="C75" s="220"/>
      <c r="D75" s="220"/>
      <c r="E75" s="220"/>
      <c r="F75" s="220"/>
      <c r="G75" s="220"/>
      <c r="H75" s="220"/>
      <c r="I75" s="220"/>
      <c r="J75" s="220"/>
    </row>
    <row r="76" spans="1:10" ht="14.25" customHeight="1" x14ac:dyDescent="0.25">
      <c r="A76" s="220"/>
      <c r="B76" s="220"/>
      <c r="C76" s="220"/>
      <c r="D76" s="220"/>
      <c r="E76" s="220"/>
      <c r="F76" s="220"/>
      <c r="G76" s="220"/>
      <c r="H76" s="220"/>
      <c r="I76" s="220"/>
      <c r="J76" s="220"/>
    </row>
    <row r="77" spans="1:10" ht="14.25" customHeight="1" x14ac:dyDescent="0.25">
      <c r="A77" s="220"/>
      <c r="B77" s="220"/>
      <c r="C77" s="220"/>
      <c r="D77" s="220"/>
      <c r="E77" s="220"/>
      <c r="F77" s="220"/>
      <c r="G77" s="220"/>
      <c r="H77" s="220"/>
      <c r="I77" s="220"/>
      <c r="J77" s="220"/>
    </row>
    <row r="78" spans="1:10" ht="14.25" customHeight="1" x14ac:dyDescent="0.25">
      <c r="A78" s="220"/>
      <c r="B78" s="220"/>
      <c r="C78" s="220"/>
      <c r="D78" s="220"/>
      <c r="E78" s="220"/>
      <c r="F78" s="220"/>
      <c r="G78" s="220"/>
      <c r="H78" s="220"/>
      <c r="I78" s="220"/>
      <c r="J78" s="220"/>
    </row>
    <row r="79" spans="1:10" ht="14.25" customHeight="1" x14ac:dyDescent="0.25">
      <c r="A79" s="220"/>
      <c r="B79" s="220"/>
      <c r="C79" s="220"/>
      <c r="D79" s="220"/>
      <c r="E79" s="220"/>
      <c r="F79" s="220"/>
      <c r="G79" s="220"/>
      <c r="H79" s="220"/>
      <c r="I79" s="220"/>
      <c r="J79" s="220"/>
    </row>
    <row r="80" spans="1:10" ht="14.25" customHeight="1" x14ac:dyDescent="0.25">
      <c r="A80" s="220"/>
      <c r="B80" s="220"/>
      <c r="C80" s="220"/>
      <c r="D80" s="220"/>
      <c r="E80" s="220"/>
      <c r="F80" s="220"/>
      <c r="G80" s="220"/>
      <c r="H80" s="220"/>
      <c r="I80" s="220"/>
      <c r="J80" s="220"/>
    </row>
    <row r="81" spans="1:10" ht="14.25" customHeight="1" x14ac:dyDescent="0.25">
      <c r="A81" s="220"/>
      <c r="B81" s="220"/>
      <c r="C81" s="220"/>
      <c r="D81" s="220"/>
      <c r="E81" s="220"/>
      <c r="F81" s="220"/>
      <c r="G81" s="220"/>
      <c r="H81" s="220"/>
      <c r="I81" s="220"/>
      <c r="J81" s="220"/>
    </row>
    <row r="82" spans="1:10" ht="14.25" customHeight="1" x14ac:dyDescent="0.25">
      <c r="A82" s="220"/>
      <c r="B82" s="220"/>
      <c r="C82" s="220"/>
      <c r="D82" s="220"/>
      <c r="E82" s="220"/>
      <c r="F82" s="220"/>
      <c r="G82" s="220"/>
      <c r="H82" s="220"/>
      <c r="I82" s="220"/>
      <c r="J82" s="220"/>
    </row>
    <row r="83" spans="1:10" ht="14.25" customHeight="1" x14ac:dyDescent="0.25">
      <c r="A83" s="220"/>
      <c r="B83" s="220"/>
      <c r="C83" s="220"/>
      <c r="D83" s="220"/>
      <c r="E83" s="220"/>
      <c r="F83" s="220"/>
      <c r="G83" s="220"/>
      <c r="H83" s="220"/>
      <c r="I83" s="220"/>
      <c r="J83" s="220"/>
    </row>
    <row r="84" spans="1:10" ht="14.25" customHeight="1" x14ac:dyDescent="0.25">
      <c r="A84" s="220"/>
      <c r="B84" s="220"/>
      <c r="C84" s="220"/>
      <c r="D84" s="220"/>
      <c r="E84" s="220"/>
      <c r="F84" s="220"/>
      <c r="G84" s="220"/>
      <c r="H84" s="220"/>
      <c r="I84" s="220"/>
      <c r="J84" s="220"/>
    </row>
    <row r="85" spans="1:10" ht="14.25" customHeight="1" x14ac:dyDescent="0.25">
      <c r="A85" s="220"/>
      <c r="B85" s="220"/>
      <c r="C85" s="220"/>
      <c r="D85" s="220"/>
      <c r="E85" s="220"/>
      <c r="F85" s="220"/>
      <c r="G85" s="220"/>
      <c r="H85" s="220"/>
      <c r="I85" s="220"/>
      <c r="J85" s="220"/>
    </row>
  </sheetData>
  <mergeCells count="14">
    <mergeCell ref="A48:B48"/>
    <mergeCell ref="A1:C1"/>
    <mergeCell ref="H2:O3"/>
    <mergeCell ref="H6:O6"/>
    <mergeCell ref="A2:C2"/>
    <mergeCell ref="A6:E6"/>
    <mergeCell ref="A14:B14"/>
    <mergeCell ref="H21:I21"/>
    <mergeCell ref="A28:J28"/>
    <mergeCell ref="A43:C43"/>
    <mergeCell ref="A47:B47"/>
    <mergeCell ref="A46:B46"/>
    <mergeCell ref="A45:B45"/>
    <mergeCell ref="A44:B44"/>
  </mergeCells>
  <hyperlinks>
    <hyperlink ref="D26" r:id="rId1" xr:uid="{C7D79ED9-74C8-4ED9-830F-B582B81F9800}"/>
    <hyperlink ref="D36" r:id="rId2" xr:uid="{3FE0C083-27E0-4F22-B742-39575CAC4C0C}"/>
  </hyperlinks>
  <pageMargins left="0.7" right="0.7" top="0.75" bottom="0.75" header="0" footer="0"/>
  <pageSetup paperSize="9" scale="4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RESUMO</vt:lpstr>
      <vt:lpstr>ROTA 1 - ÔNIBUS</vt:lpstr>
      <vt:lpstr>ROTA 2 - MICRO</vt:lpstr>
      <vt:lpstr>Roteiros</vt:lpstr>
      <vt:lpstr>Encargos Sociais</vt:lpstr>
      <vt:lpstr>BDI</vt:lpstr>
      <vt:lpstr>Depreciação</vt:lpstr>
      <vt:lpstr>Pesquisas de preços</vt:lpstr>
      <vt:lpstr>AbaDeprec</vt:lpstr>
      <vt:lpstr>'ROTA 1 - ÔNIBUS'!Area_de_impressao</vt:lpstr>
      <vt:lpstr>'ROTA 2 - MICRO'!Area_de_impressao</vt:lpstr>
      <vt:lpstr>Roteiros!Area_de_impressao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</dc:title>
  <dc:creator>Michel Patric Correa</dc:creator>
  <cp:lastModifiedBy>Cristhian Marciano</cp:lastModifiedBy>
  <cp:revision>15</cp:revision>
  <cp:lastPrinted>2024-07-24T14:13:16Z</cp:lastPrinted>
  <dcterms:created xsi:type="dcterms:W3CDTF">2000-12-13T10:02:50Z</dcterms:created>
  <dcterms:modified xsi:type="dcterms:W3CDTF">2024-09-05T13:01:34Z</dcterms:modified>
</cp:coreProperties>
</file>